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My Documents\Working\My Papers\fracture uncirtinety\Paper\For submission\Supplementary Infomation_Subjective Bias\"/>
    </mc:Choice>
  </mc:AlternateContent>
  <bookViews>
    <workbookView xWindow="0" yWindow="0" windowWidth="19200" windowHeight="11505"/>
  </bookViews>
  <sheets>
    <sheet name="Summary" sheetId="1" r:id="rId1"/>
    <sheet name="C1" sheetId="2" r:id="rId2"/>
    <sheet name="C2" sheetId="3" r:id="rId3"/>
    <sheet name="C3" sheetId="4" r:id="rId4"/>
    <sheet name="C4" sheetId="5" r:id="rId5"/>
    <sheet name="C5" sheetId="6" r:id="rId6"/>
    <sheet name="C6" sheetId="7" r:id="rId7"/>
    <sheet name="C7" sheetId="8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 l="1"/>
  <c r="E14" i="1"/>
  <c r="M22" i="1"/>
  <c r="Q22" i="1"/>
  <c r="U22" i="1"/>
  <c r="Y22" i="1"/>
  <c r="AC22" i="1"/>
  <c r="AG22" i="1"/>
  <c r="AK22" i="1"/>
  <c r="AO22" i="1"/>
  <c r="M23" i="1"/>
  <c r="Q23" i="1"/>
  <c r="U23" i="1"/>
  <c r="Y23" i="1"/>
  <c r="AC23" i="1"/>
  <c r="AG23" i="1"/>
  <c r="AK23" i="1"/>
  <c r="AO23" i="1"/>
  <c r="M24" i="1"/>
  <c r="Q24" i="1"/>
  <c r="U24" i="1"/>
  <c r="Y24" i="1"/>
  <c r="AC24" i="1"/>
  <c r="AG24" i="1"/>
  <c r="AK24" i="1"/>
  <c r="AO24" i="1"/>
  <c r="M25" i="1"/>
  <c r="Q25" i="1"/>
  <c r="U25" i="1"/>
  <c r="Y25" i="1"/>
  <c r="AC25" i="1"/>
  <c r="AG25" i="1"/>
  <c r="AK25" i="1"/>
  <c r="AO25" i="1"/>
  <c r="M26" i="1"/>
  <c r="Q26" i="1"/>
  <c r="U26" i="1"/>
  <c r="Y26" i="1"/>
  <c r="AC26" i="1"/>
  <c r="AG26" i="1"/>
  <c r="AK26" i="1"/>
  <c r="AO26" i="1"/>
  <c r="H16" i="8" l="1"/>
  <c r="I16" i="8"/>
  <c r="J16" i="8"/>
  <c r="K16" i="8"/>
  <c r="H17" i="8"/>
  <c r="I20" i="1" s="1"/>
  <c r="I17" i="8"/>
  <c r="J17" i="8"/>
  <c r="K17" i="8"/>
  <c r="H18" i="8"/>
  <c r="I18" i="8"/>
  <c r="J18" i="8"/>
  <c r="K18" i="8"/>
  <c r="H19" i="8"/>
  <c r="I19" i="8"/>
  <c r="J19" i="8"/>
  <c r="K19" i="8"/>
  <c r="H20" i="8"/>
  <c r="H23" i="8" s="1"/>
  <c r="I20" i="8"/>
  <c r="J20" i="8"/>
  <c r="J23" i="8" s="1"/>
  <c r="K20" i="8"/>
  <c r="H21" i="8"/>
  <c r="I21" i="8"/>
  <c r="J21" i="8"/>
  <c r="K21" i="8"/>
  <c r="G20" i="8"/>
  <c r="G19" i="8"/>
  <c r="G18" i="8"/>
  <c r="G17" i="8"/>
  <c r="E20" i="1" s="1"/>
  <c r="G16" i="8"/>
  <c r="I23" i="8"/>
  <c r="K23" i="8"/>
  <c r="H17" i="7"/>
  <c r="I17" i="7"/>
  <c r="J17" i="7"/>
  <c r="K17" i="7"/>
  <c r="H18" i="7"/>
  <c r="I19" i="1" s="1"/>
  <c r="I18" i="7"/>
  <c r="J18" i="7"/>
  <c r="K18" i="7"/>
  <c r="H19" i="7"/>
  <c r="I19" i="7"/>
  <c r="J19" i="7"/>
  <c r="K19" i="7"/>
  <c r="H20" i="7"/>
  <c r="I20" i="7"/>
  <c r="J20" i="7"/>
  <c r="K20" i="7"/>
  <c r="H21" i="7"/>
  <c r="I21" i="7"/>
  <c r="J21" i="7"/>
  <c r="K21" i="7"/>
  <c r="H22" i="7"/>
  <c r="I22" i="7"/>
  <c r="J22" i="7"/>
  <c r="K22" i="7"/>
  <c r="G21" i="7"/>
  <c r="G20" i="7"/>
  <c r="G19" i="7"/>
  <c r="G18" i="7"/>
  <c r="E19" i="1" s="1"/>
  <c r="G17" i="7"/>
  <c r="K24" i="7"/>
  <c r="J24" i="7"/>
  <c r="I24" i="7"/>
  <c r="H14" i="6"/>
  <c r="I14" i="6"/>
  <c r="J14" i="6"/>
  <c r="K14" i="6"/>
  <c r="H15" i="6"/>
  <c r="I18" i="1" s="1"/>
  <c r="I15" i="6"/>
  <c r="J15" i="6"/>
  <c r="K15" i="6"/>
  <c r="H16" i="6"/>
  <c r="I16" i="6"/>
  <c r="J16" i="6"/>
  <c r="K16" i="6"/>
  <c r="H17" i="6"/>
  <c r="I17" i="6"/>
  <c r="J17" i="6"/>
  <c r="K17" i="6"/>
  <c r="H18" i="6"/>
  <c r="H21" i="6" s="1"/>
  <c r="I18" i="6"/>
  <c r="J18" i="6"/>
  <c r="J21" i="6" s="1"/>
  <c r="K18" i="6"/>
  <c r="H19" i="6"/>
  <c r="I19" i="6"/>
  <c r="J19" i="6"/>
  <c r="K19" i="6"/>
  <c r="G18" i="6"/>
  <c r="G17" i="6"/>
  <c r="G16" i="6"/>
  <c r="G15" i="6"/>
  <c r="E18" i="1" s="1"/>
  <c r="G14" i="6"/>
  <c r="K21" i="6"/>
  <c r="H20" i="5"/>
  <c r="J20" i="5"/>
  <c r="G20" i="5"/>
  <c r="H13" i="5"/>
  <c r="I13" i="5"/>
  <c r="J13" i="5"/>
  <c r="K13" i="5"/>
  <c r="H14" i="5"/>
  <c r="I17" i="1" s="1"/>
  <c r="I14" i="5"/>
  <c r="J14" i="5"/>
  <c r="K14" i="5"/>
  <c r="H15" i="5"/>
  <c r="I15" i="5"/>
  <c r="J15" i="5"/>
  <c r="K15" i="5"/>
  <c r="H16" i="5"/>
  <c r="I16" i="5"/>
  <c r="J16" i="5"/>
  <c r="K16" i="5"/>
  <c r="H17" i="5"/>
  <c r="I17" i="5"/>
  <c r="I20" i="5" s="1"/>
  <c r="J17" i="5"/>
  <c r="K17" i="5"/>
  <c r="K20" i="5" s="1"/>
  <c r="H18" i="5"/>
  <c r="I18" i="5"/>
  <c r="J18" i="5"/>
  <c r="K18" i="5"/>
  <c r="G17" i="5"/>
  <c r="G16" i="5"/>
  <c r="G15" i="5"/>
  <c r="G14" i="5"/>
  <c r="E17" i="1" s="1"/>
  <c r="G13" i="5"/>
  <c r="H16" i="4"/>
  <c r="I16" i="4"/>
  <c r="J16" i="4"/>
  <c r="K16" i="4"/>
  <c r="H17" i="4"/>
  <c r="I16" i="1" s="1"/>
  <c r="I17" i="4"/>
  <c r="J17" i="4"/>
  <c r="K17" i="4"/>
  <c r="H18" i="4"/>
  <c r="I18" i="4"/>
  <c r="J18" i="4"/>
  <c r="K18" i="4"/>
  <c r="H19" i="4"/>
  <c r="I19" i="4"/>
  <c r="J19" i="4"/>
  <c r="K19" i="4"/>
  <c r="H20" i="4"/>
  <c r="I20" i="4"/>
  <c r="J20" i="4"/>
  <c r="K20" i="4"/>
  <c r="H21" i="4"/>
  <c r="I21" i="4"/>
  <c r="J21" i="4"/>
  <c r="K21" i="4"/>
  <c r="G20" i="4"/>
  <c r="G19" i="4"/>
  <c r="G18" i="4"/>
  <c r="G17" i="4"/>
  <c r="E16" i="1" s="1"/>
  <c r="G16" i="4"/>
  <c r="H15" i="3"/>
  <c r="I15" i="3"/>
  <c r="J15" i="3"/>
  <c r="K15" i="3"/>
  <c r="H16" i="3"/>
  <c r="I15" i="1" s="1"/>
  <c r="I16" i="3"/>
  <c r="J16" i="3"/>
  <c r="K16" i="3"/>
  <c r="H17" i="3"/>
  <c r="I17" i="3"/>
  <c r="J17" i="3"/>
  <c r="K17" i="3"/>
  <c r="H18" i="3"/>
  <c r="I18" i="3"/>
  <c r="J18" i="3"/>
  <c r="K18" i="3"/>
  <c r="H19" i="3"/>
  <c r="I19" i="3"/>
  <c r="J19" i="3"/>
  <c r="K19" i="3"/>
  <c r="H20" i="3"/>
  <c r="I20" i="3"/>
  <c r="J20" i="3"/>
  <c r="K20" i="3"/>
  <c r="G19" i="3"/>
  <c r="G18" i="3"/>
  <c r="G17" i="3"/>
  <c r="G16" i="3"/>
  <c r="G20" i="3" s="1"/>
  <c r="G15" i="3"/>
  <c r="G16" i="2"/>
  <c r="G15" i="2"/>
  <c r="G14" i="2"/>
  <c r="G13" i="2"/>
  <c r="G17" i="2" s="1"/>
  <c r="G12" i="2"/>
  <c r="K16" i="2"/>
  <c r="J16" i="2"/>
  <c r="I16" i="2"/>
  <c r="H16" i="2"/>
  <c r="K15" i="2"/>
  <c r="J15" i="2"/>
  <c r="I15" i="2"/>
  <c r="H15" i="2"/>
  <c r="K14" i="2"/>
  <c r="J14" i="2"/>
  <c r="I14" i="2"/>
  <c r="H14" i="2"/>
  <c r="K13" i="2"/>
  <c r="K17" i="2" s="1"/>
  <c r="J13" i="2"/>
  <c r="J17" i="2" s="1"/>
  <c r="I13" i="2"/>
  <c r="I17" i="2" s="1"/>
  <c r="H13" i="2"/>
  <c r="K12" i="2"/>
  <c r="J12" i="2"/>
  <c r="I12" i="2"/>
  <c r="H12" i="2"/>
  <c r="H17" i="2" l="1"/>
  <c r="I14" i="1"/>
  <c r="G19" i="6"/>
  <c r="G21" i="6"/>
  <c r="G21" i="8"/>
  <c r="E23" i="1"/>
  <c r="E25" i="1"/>
  <c r="E24" i="1"/>
  <c r="E22" i="1"/>
  <c r="E26" i="1" s="1"/>
  <c r="G21" i="4"/>
  <c r="G18" i="5"/>
  <c r="G22" i="7"/>
  <c r="I22" i="1"/>
  <c r="I26" i="1" s="1"/>
  <c r="G23" i="8"/>
  <c r="G24" i="7"/>
  <c r="H24" i="7"/>
  <c r="I21" i="6"/>
  <c r="V20" i="1"/>
  <c r="T20" i="1"/>
  <c r="S20" i="1"/>
  <c r="R20" i="1"/>
  <c r="P20" i="1"/>
  <c r="O20" i="1"/>
  <c r="N20" i="1"/>
  <c r="L20" i="1"/>
  <c r="K20" i="1"/>
  <c r="J20" i="1"/>
  <c r="H20" i="1"/>
  <c r="G20" i="1"/>
  <c r="F20" i="1"/>
  <c r="D20" i="1"/>
  <c r="C20" i="1"/>
  <c r="V19" i="1"/>
  <c r="T19" i="1"/>
  <c r="S19" i="1"/>
  <c r="R19" i="1"/>
  <c r="P19" i="1"/>
  <c r="O19" i="1"/>
  <c r="N19" i="1"/>
  <c r="L19" i="1"/>
  <c r="K19" i="1"/>
  <c r="J19" i="1"/>
  <c r="H19" i="1"/>
  <c r="G19" i="1"/>
  <c r="F19" i="1"/>
  <c r="D19" i="1"/>
  <c r="C19" i="1"/>
  <c r="J18" i="1"/>
  <c r="H18" i="1"/>
  <c r="G18" i="1"/>
  <c r="F18" i="1"/>
  <c r="D18" i="1"/>
  <c r="C18" i="1"/>
  <c r="J17" i="1"/>
  <c r="H17" i="1"/>
  <c r="G17" i="1"/>
  <c r="F17" i="1"/>
  <c r="D17" i="1"/>
  <c r="C17" i="1"/>
  <c r="J16" i="1"/>
  <c r="H16" i="1"/>
  <c r="G16" i="1"/>
  <c r="F16" i="1"/>
  <c r="D16" i="1"/>
  <c r="C16" i="1"/>
  <c r="J15" i="1"/>
  <c r="H15" i="1"/>
  <c r="G15" i="1"/>
  <c r="F15" i="1"/>
  <c r="D15" i="1"/>
  <c r="C15" i="1"/>
  <c r="V18" i="1"/>
  <c r="T18" i="1"/>
  <c r="S18" i="1"/>
  <c r="R18" i="1"/>
  <c r="P18" i="1"/>
  <c r="O18" i="1"/>
  <c r="N18" i="1"/>
  <c r="L18" i="1"/>
  <c r="K18" i="1"/>
  <c r="V17" i="1"/>
  <c r="T17" i="1"/>
  <c r="S17" i="1"/>
  <c r="R17" i="1"/>
  <c r="P17" i="1"/>
  <c r="O17" i="1"/>
  <c r="N17" i="1"/>
  <c r="L17" i="1"/>
  <c r="K17" i="1"/>
  <c r="V16" i="1"/>
  <c r="T16" i="1"/>
  <c r="S16" i="1"/>
  <c r="R16" i="1"/>
  <c r="P16" i="1"/>
  <c r="O16" i="1"/>
  <c r="N16" i="1"/>
  <c r="L16" i="1"/>
  <c r="K16" i="1"/>
  <c r="V15" i="1"/>
  <c r="T15" i="1"/>
  <c r="S15" i="1"/>
  <c r="R15" i="1"/>
  <c r="P15" i="1"/>
  <c r="O15" i="1"/>
  <c r="N15" i="1"/>
  <c r="L15" i="1"/>
  <c r="K15" i="1"/>
  <c r="V14" i="1"/>
  <c r="T14" i="1"/>
  <c r="S14" i="1"/>
  <c r="R14" i="1"/>
  <c r="P14" i="1"/>
  <c r="O14" i="1"/>
  <c r="N14" i="1"/>
  <c r="L14" i="1"/>
  <c r="K14" i="1"/>
  <c r="J14" i="1"/>
  <c r="H14" i="1"/>
  <c r="G14" i="1"/>
  <c r="F14" i="1"/>
  <c r="D14" i="1"/>
  <c r="C14" i="1"/>
  <c r="C25" i="1" l="1"/>
  <c r="C23" i="1"/>
  <c r="C24" i="1"/>
  <c r="C22" i="1"/>
  <c r="C26" i="1" s="1"/>
  <c r="F23" i="1"/>
  <c r="F25" i="1"/>
  <c r="F24" i="1"/>
  <c r="F22" i="1"/>
  <c r="F26" i="1" s="1"/>
  <c r="H23" i="1"/>
  <c r="H25" i="1"/>
  <c r="H22" i="1"/>
  <c r="H26" i="1" s="1"/>
  <c r="H24" i="1"/>
  <c r="K23" i="1"/>
  <c r="K25" i="1"/>
  <c r="K24" i="1"/>
  <c r="K22" i="1"/>
  <c r="K26" i="1" s="1"/>
  <c r="N22" i="1"/>
  <c r="N26" i="1" s="1"/>
  <c r="N24" i="1"/>
  <c r="N23" i="1"/>
  <c r="N25" i="1"/>
  <c r="P22" i="1"/>
  <c r="P26" i="1" s="1"/>
  <c r="P24" i="1"/>
  <c r="P25" i="1"/>
  <c r="P23" i="1"/>
  <c r="S23" i="1"/>
  <c r="S25" i="1"/>
  <c r="S24" i="1"/>
  <c r="S22" i="1"/>
  <c r="S26" i="1" s="1"/>
  <c r="V22" i="1"/>
  <c r="V26" i="1" s="1"/>
  <c r="V24" i="1"/>
  <c r="V23" i="1"/>
  <c r="V25" i="1"/>
  <c r="D22" i="1"/>
  <c r="D26" i="1" s="1"/>
  <c r="D24" i="1"/>
  <c r="D25" i="1"/>
  <c r="D23" i="1"/>
  <c r="G22" i="1"/>
  <c r="G26" i="1" s="1"/>
  <c r="G24" i="1"/>
  <c r="G23" i="1"/>
  <c r="G25" i="1"/>
  <c r="J22" i="1"/>
  <c r="J26" i="1" s="1"/>
  <c r="J24" i="1"/>
  <c r="J25" i="1"/>
  <c r="J23" i="1"/>
  <c r="L22" i="1"/>
  <c r="L26" i="1" s="1"/>
  <c r="L24" i="1"/>
  <c r="L23" i="1"/>
  <c r="L25" i="1"/>
  <c r="O23" i="1"/>
  <c r="O25" i="1"/>
  <c r="O24" i="1"/>
  <c r="O22" i="1"/>
  <c r="O26" i="1" s="1"/>
  <c r="R22" i="1"/>
  <c r="R26" i="1" s="1"/>
  <c r="R24" i="1"/>
  <c r="R25" i="1"/>
  <c r="R23" i="1"/>
  <c r="T22" i="1"/>
  <c r="T26" i="1" s="1"/>
  <c r="T24" i="1"/>
  <c r="T23" i="1"/>
  <c r="T25" i="1"/>
  <c r="I23" i="1"/>
  <c r="I24" i="1"/>
  <c r="I25" i="1"/>
  <c r="S10" i="8" l="1"/>
  <c r="O10" i="8"/>
  <c r="N10" i="8"/>
  <c r="L10" i="8"/>
  <c r="S9" i="8"/>
  <c r="O9" i="8"/>
  <c r="N9" i="8"/>
  <c r="L9" i="8"/>
  <c r="S8" i="8"/>
  <c r="O8" i="8"/>
  <c r="N8" i="8"/>
  <c r="Q8" i="8" s="1"/>
  <c r="L8" i="8"/>
  <c r="S7" i="8"/>
  <c r="O7" i="8"/>
  <c r="N7" i="8"/>
  <c r="Q7" i="8" s="1"/>
  <c r="M7" i="8"/>
  <c r="L7" i="8"/>
  <c r="S6" i="8"/>
  <c r="O6" i="8"/>
  <c r="N6" i="8"/>
  <c r="M6" i="8"/>
  <c r="L6" i="8"/>
  <c r="S5" i="8"/>
  <c r="O5" i="8"/>
  <c r="N5" i="8"/>
  <c r="M5" i="8"/>
  <c r="L5" i="8"/>
  <c r="S11" i="8"/>
  <c r="O11" i="8"/>
  <c r="N11" i="8"/>
  <c r="L11" i="8"/>
  <c r="S12" i="8"/>
  <c r="O12" i="8"/>
  <c r="N12" i="8"/>
  <c r="Q12" i="8" s="1"/>
  <c r="L12" i="8"/>
  <c r="S10" i="7"/>
  <c r="O10" i="7"/>
  <c r="R10" i="7" s="1"/>
  <c r="N10" i="7"/>
  <c r="L10" i="7"/>
  <c r="C10" i="7"/>
  <c r="Q10" i="7" s="1"/>
  <c r="S9" i="7"/>
  <c r="O9" i="7"/>
  <c r="N9" i="7"/>
  <c r="L9" i="7"/>
  <c r="C9" i="7"/>
  <c r="S8" i="7"/>
  <c r="O8" i="7"/>
  <c r="N8" i="7"/>
  <c r="L8" i="7"/>
  <c r="C8" i="7"/>
  <c r="S7" i="7"/>
  <c r="O7" i="7"/>
  <c r="N7" i="7"/>
  <c r="L7" i="7"/>
  <c r="C7" i="7"/>
  <c r="S6" i="7"/>
  <c r="O6" i="7"/>
  <c r="N6" i="7"/>
  <c r="M6" i="7"/>
  <c r="L6" i="7"/>
  <c r="C6" i="7"/>
  <c r="S5" i="7"/>
  <c r="O5" i="7"/>
  <c r="N5" i="7"/>
  <c r="L5" i="7"/>
  <c r="C5" i="7"/>
  <c r="S11" i="7"/>
  <c r="O11" i="7"/>
  <c r="N11" i="7"/>
  <c r="L11" i="7"/>
  <c r="C11" i="7"/>
  <c r="S12" i="7"/>
  <c r="O12" i="7"/>
  <c r="R12" i="7" s="1"/>
  <c r="N12" i="7"/>
  <c r="L12" i="7"/>
  <c r="C12" i="7"/>
  <c r="S10" i="6"/>
  <c r="O10" i="6"/>
  <c r="R10" i="6" s="1"/>
  <c r="N10" i="6"/>
  <c r="Q10" i="6" s="1"/>
  <c r="L10" i="6"/>
  <c r="S9" i="6"/>
  <c r="O9" i="6"/>
  <c r="N9" i="6"/>
  <c r="Q9" i="6" s="1"/>
  <c r="M9" i="6"/>
  <c r="L9" i="6"/>
  <c r="S8" i="6"/>
  <c r="O8" i="6"/>
  <c r="R8" i="6" s="1"/>
  <c r="N8" i="6"/>
  <c r="Q8" i="6" s="1"/>
  <c r="M8" i="6"/>
  <c r="L8" i="6"/>
  <c r="S7" i="6"/>
  <c r="R7" i="6"/>
  <c r="O7" i="6"/>
  <c r="N7" i="6"/>
  <c r="Q7" i="6" s="1"/>
  <c r="M7" i="6"/>
  <c r="L7" i="6"/>
  <c r="S6" i="6"/>
  <c r="O6" i="6"/>
  <c r="R6" i="6" s="1"/>
  <c r="N6" i="6"/>
  <c r="M6" i="6"/>
  <c r="L6" i="6"/>
  <c r="S5" i="6"/>
  <c r="O5" i="6"/>
  <c r="N5" i="6"/>
  <c r="M5" i="6"/>
  <c r="L5" i="6"/>
  <c r="S9" i="5"/>
  <c r="O9" i="5"/>
  <c r="R9" i="5" s="1"/>
  <c r="N9" i="5"/>
  <c r="Q9" i="5" s="1"/>
  <c r="L9" i="5"/>
  <c r="S8" i="5"/>
  <c r="O8" i="5"/>
  <c r="N8" i="5"/>
  <c r="Q8" i="5" s="1"/>
  <c r="M8" i="5"/>
  <c r="L8" i="5"/>
  <c r="S7" i="5"/>
  <c r="O7" i="5"/>
  <c r="N7" i="5"/>
  <c r="Q7" i="5" s="1"/>
  <c r="M7" i="5"/>
  <c r="L7" i="5"/>
  <c r="S6" i="5"/>
  <c r="O6" i="5"/>
  <c r="R6" i="5" s="1"/>
  <c r="N6" i="5"/>
  <c r="Q6" i="5" s="1"/>
  <c r="M6" i="5"/>
  <c r="L6" i="5"/>
  <c r="S5" i="5"/>
  <c r="O5" i="5"/>
  <c r="N5" i="5"/>
  <c r="M5" i="5"/>
  <c r="L5" i="5"/>
  <c r="S9" i="4"/>
  <c r="O9" i="4"/>
  <c r="R9" i="4" s="1"/>
  <c r="N9" i="4"/>
  <c r="Q9" i="4" s="1"/>
  <c r="L9" i="4"/>
  <c r="S8" i="4"/>
  <c r="O8" i="4"/>
  <c r="N8" i="4"/>
  <c r="Q8" i="4" s="1"/>
  <c r="M8" i="4"/>
  <c r="L8" i="4"/>
  <c r="S7" i="4"/>
  <c r="O7" i="4"/>
  <c r="N7" i="4"/>
  <c r="Q7" i="4" s="1"/>
  <c r="L7" i="4"/>
  <c r="S6" i="4"/>
  <c r="O6" i="4"/>
  <c r="R6" i="4" s="1"/>
  <c r="N6" i="4"/>
  <c r="M6" i="4"/>
  <c r="L6" i="4"/>
  <c r="S5" i="4"/>
  <c r="O5" i="4"/>
  <c r="N5" i="4"/>
  <c r="M5" i="4"/>
  <c r="L5" i="4"/>
  <c r="S10" i="3"/>
  <c r="O10" i="3"/>
  <c r="R10" i="3" s="1"/>
  <c r="N10" i="3"/>
  <c r="Q10" i="3" s="1"/>
  <c r="L10" i="3"/>
  <c r="S9" i="3"/>
  <c r="O9" i="3"/>
  <c r="N9" i="3"/>
  <c r="Q9" i="3" s="1"/>
  <c r="L9" i="3"/>
  <c r="S8" i="3"/>
  <c r="O8" i="3"/>
  <c r="R8" i="3" s="1"/>
  <c r="N8" i="3"/>
  <c r="Q8" i="3" s="1"/>
  <c r="M8" i="3"/>
  <c r="L8" i="3"/>
  <c r="S7" i="3"/>
  <c r="O7" i="3"/>
  <c r="R7" i="3" s="1"/>
  <c r="N7" i="3"/>
  <c r="Q7" i="3" s="1"/>
  <c r="M7" i="3"/>
  <c r="L7" i="3"/>
  <c r="S6" i="3"/>
  <c r="O6" i="3"/>
  <c r="N6" i="3"/>
  <c r="M6" i="3"/>
  <c r="L6" i="3"/>
  <c r="S5" i="3"/>
  <c r="O5" i="3"/>
  <c r="N5" i="3"/>
  <c r="M5" i="3"/>
  <c r="L5" i="3"/>
  <c r="S10" i="2"/>
  <c r="O10" i="2"/>
  <c r="R10" i="2" s="1"/>
  <c r="N10" i="2"/>
  <c r="Q10" i="2" s="1"/>
  <c r="M10" i="2"/>
  <c r="L10" i="2"/>
  <c r="S9" i="2"/>
  <c r="O9" i="2"/>
  <c r="N9" i="2"/>
  <c r="Q9" i="2" s="1"/>
  <c r="L9" i="2"/>
  <c r="S8" i="2"/>
  <c r="O8" i="2"/>
  <c r="R8" i="2" s="1"/>
  <c r="N8" i="2"/>
  <c r="Q8" i="2" s="1"/>
  <c r="M8" i="2"/>
  <c r="L8" i="2"/>
  <c r="S7" i="2"/>
  <c r="O7" i="2"/>
  <c r="R7" i="2" s="1"/>
  <c r="N7" i="2"/>
  <c r="Q7" i="2" s="1"/>
  <c r="M7" i="2"/>
  <c r="L7" i="2"/>
  <c r="S6" i="2"/>
  <c r="O6" i="2"/>
  <c r="N6" i="2"/>
  <c r="L6" i="2"/>
  <c r="S5" i="2"/>
  <c r="O5" i="2"/>
  <c r="N5" i="2"/>
  <c r="M5" i="2"/>
  <c r="L5" i="2"/>
  <c r="M16" i="2" l="1"/>
  <c r="M15" i="2"/>
  <c r="M14" i="2"/>
  <c r="M13" i="2"/>
  <c r="M17" i="2" s="1"/>
  <c r="M12" i="2"/>
  <c r="Z14" i="1"/>
  <c r="W14" i="1"/>
  <c r="X14" i="1"/>
  <c r="O16" i="2"/>
  <c r="O15" i="2"/>
  <c r="O14" i="2"/>
  <c r="O13" i="2"/>
  <c r="O17" i="2" s="1"/>
  <c r="O12" i="2"/>
  <c r="R5" i="2"/>
  <c r="P7" i="2"/>
  <c r="L15" i="3"/>
  <c r="L16" i="3"/>
  <c r="L20" i="3" s="1"/>
  <c r="L17" i="3"/>
  <c r="L18" i="3"/>
  <c r="L19" i="3"/>
  <c r="Q5" i="3"/>
  <c r="N15" i="3"/>
  <c r="N16" i="3"/>
  <c r="N20" i="3" s="1"/>
  <c r="N17" i="3"/>
  <c r="N18" i="3"/>
  <c r="N19" i="3"/>
  <c r="S15" i="3"/>
  <c r="S16" i="3"/>
  <c r="S20" i="3" s="1"/>
  <c r="S17" i="3"/>
  <c r="S18" i="3"/>
  <c r="S19" i="3"/>
  <c r="AH15" i="1"/>
  <c r="AE15" i="1"/>
  <c r="AF15" i="1"/>
  <c r="M16" i="4"/>
  <c r="M17" i="4"/>
  <c r="M21" i="4" s="1"/>
  <c r="M18" i="4"/>
  <c r="M19" i="4"/>
  <c r="M20" i="4"/>
  <c r="Z16" i="1"/>
  <c r="W16" i="1"/>
  <c r="X16" i="1"/>
  <c r="O16" i="4"/>
  <c r="O17" i="4"/>
  <c r="O21" i="4" s="1"/>
  <c r="O18" i="4"/>
  <c r="O19" i="4"/>
  <c r="O20" i="4"/>
  <c r="S16" i="4"/>
  <c r="S17" i="4"/>
  <c r="S21" i="4" s="1"/>
  <c r="S18" i="4"/>
  <c r="S19" i="4"/>
  <c r="S20" i="4"/>
  <c r="AH16" i="1"/>
  <c r="AE16" i="1"/>
  <c r="AF16" i="1"/>
  <c r="L13" i="5"/>
  <c r="L14" i="5"/>
  <c r="L18" i="5" s="1"/>
  <c r="L15" i="5"/>
  <c r="L16" i="5"/>
  <c r="L17" i="5"/>
  <c r="P5" i="5"/>
  <c r="N13" i="5"/>
  <c r="N14" i="5"/>
  <c r="N18" i="5" s="1"/>
  <c r="N15" i="5"/>
  <c r="N16" i="5"/>
  <c r="N17" i="5"/>
  <c r="S13" i="5"/>
  <c r="S14" i="5"/>
  <c r="S18" i="5" s="1"/>
  <c r="S15" i="5"/>
  <c r="S16" i="5"/>
  <c r="S17" i="5"/>
  <c r="S20" i="5" s="1"/>
  <c r="AH17" i="1"/>
  <c r="AE17" i="1"/>
  <c r="AF17" i="1"/>
  <c r="L14" i="6"/>
  <c r="L15" i="6"/>
  <c r="L19" i="6" s="1"/>
  <c r="L16" i="6"/>
  <c r="L17" i="6"/>
  <c r="L18" i="6"/>
  <c r="L21" i="6" s="1"/>
  <c r="Q5" i="6"/>
  <c r="N14" i="6"/>
  <c r="N15" i="6"/>
  <c r="N19" i="6" s="1"/>
  <c r="N16" i="6"/>
  <c r="N17" i="6"/>
  <c r="N18" i="6"/>
  <c r="N21" i="6" s="1"/>
  <c r="S14" i="6"/>
  <c r="S15" i="6"/>
  <c r="S19" i="6" s="1"/>
  <c r="S16" i="6"/>
  <c r="S17" i="6"/>
  <c r="S18" i="6"/>
  <c r="AH18" i="1"/>
  <c r="AE18" i="1"/>
  <c r="AF18" i="1"/>
  <c r="L17" i="7"/>
  <c r="L18" i="7"/>
  <c r="L22" i="7" s="1"/>
  <c r="L19" i="7"/>
  <c r="L20" i="7"/>
  <c r="L21" i="7"/>
  <c r="O17" i="7"/>
  <c r="O18" i="7"/>
  <c r="O22" i="7" s="1"/>
  <c r="O19" i="7"/>
  <c r="O20" i="7"/>
  <c r="O21" i="7"/>
  <c r="O24" i="7" s="1"/>
  <c r="M17" i="7"/>
  <c r="M18" i="7"/>
  <c r="M22" i="7" s="1"/>
  <c r="M19" i="7"/>
  <c r="M20" i="7"/>
  <c r="M21" i="7"/>
  <c r="Z19" i="1"/>
  <c r="W19" i="1"/>
  <c r="X19" i="1"/>
  <c r="L16" i="8"/>
  <c r="L17" i="8"/>
  <c r="L21" i="8" s="1"/>
  <c r="L18" i="8"/>
  <c r="L19" i="8"/>
  <c r="L20" i="8"/>
  <c r="Q5" i="8"/>
  <c r="N16" i="8"/>
  <c r="N17" i="8"/>
  <c r="N21" i="8" s="1"/>
  <c r="N18" i="8"/>
  <c r="N19" i="8"/>
  <c r="N20" i="8"/>
  <c r="S16" i="8"/>
  <c r="S17" i="8"/>
  <c r="S21" i="8" s="1"/>
  <c r="S18" i="8"/>
  <c r="S19" i="8"/>
  <c r="S20" i="8"/>
  <c r="S23" i="8" s="1"/>
  <c r="AH20" i="1"/>
  <c r="AE20" i="1"/>
  <c r="AF20" i="1"/>
  <c r="L16" i="2"/>
  <c r="L15" i="2"/>
  <c r="L14" i="2"/>
  <c r="L13" i="2"/>
  <c r="L17" i="2" s="1"/>
  <c r="L12" i="2"/>
  <c r="Q5" i="2"/>
  <c r="N16" i="2"/>
  <c r="N15" i="2"/>
  <c r="N14" i="2"/>
  <c r="N13" i="2"/>
  <c r="N17" i="2" s="1"/>
  <c r="N12" i="2"/>
  <c r="S16" i="2"/>
  <c r="S15" i="2"/>
  <c r="S14" i="2"/>
  <c r="S13" i="2"/>
  <c r="S17" i="2" s="1"/>
  <c r="S12" i="2"/>
  <c r="AH14" i="1"/>
  <c r="AE14" i="1"/>
  <c r="AF14" i="1"/>
  <c r="P6" i="2"/>
  <c r="M15" i="3"/>
  <c r="M16" i="3"/>
  <c r="M20" i="3" s="1"/>
  <c r="M17" i="3"/>
  <c r="M18" i="3"/>
  <c r="M19" i="3"/>
  <c r="Z15" i="1"/>
  <c r="W15" i="1"/>
  <c r="X15" i="1"/>
  <c r="R5" i="3"/>
  <c r="O15" i="3"/>
  <c r="O16" i="3"/>
  <c r="O20" i="3" s="1"/>
  <c r="O17" i="3"/>
  <c r="O18" i="3"/>
  <c r="O19" i="3"/>
  <c r="P6" i="3"/>
  <c r="L16" i="4"/>
  <c r="L17" i="4"/>
  <c r="L21" i="4" s="1"/>
  <c r="L18" i="4"/>
  <c r="L19" i="4"/>
  <c r="L20" i="4"/>
  <c r="Q5" i="4"/>
  <c r="N16" i="4"/>
  <c r="N17" i="4"/>
  <c r="N21" i="4" s="1"/>
  <c r="N18" i="4"/>
  <c r="N19" i="4"/>
  <c r="N20" i="4"/>
  <c r="R5" i="4"/>
  <c r="P6" i="4"/>
  <c r="M13" i="5"/>
  <c r="M14" i="5"/>
  <c r="M18" i="5" s="1"/>
  <c r="M15" i="5"/>
  <c r="M16" i="5"/>
  <c r="M17" i="5"/>
  <c r="M20" i="5" s="1"/>
  <c r="Z17" i="1"/>
  <c r="W17" i="1"/>
  <c r="X17" i="1"/>
  <c r="R5" i="5"/>
  <c r="O13" i="5"/>
  <c r="O14" i="5"/>
  <c r="O18" i="5" s="1"/>
  <c r="O15" i="5"/>
  <c r="O16" i="5"/>
  <c r="O17" i="5"/>
  <c r="M14" i="6"/>
  <c r="M15" i="6"/>
  <c r="M19" i="6" s="1"/>
  <c r="M16" i="6"/>
  <c r="M17" i="6"/>
  <c r="M18" i="6"/>
  <c r="M21" i="6" s="1"/>
  <c r="Z18" i="1"/>
  <c r="W18" i="1"/>
  <c r="X18" i="1"/>
  <c r="O14" i="6"/>
  <c r="O15" i="6"/>
  <c r="O19" i="6" s="1"/>
  <c r="O16" i="6"/>
  <c r="O17" i="6"/>
  <c r="O18" i="6"/>
  <c r="O21" i="6" s="1"/>
  <c r="P6" i="6"/>
  <c r="Q6" i="6"/>
  <c r="N17" i="7"/>
  <c r="N18" i="7"/>
  <c r="N22" i="7" s="1"/>
  <c r="N19" i="7"/>
  <c r="N20" i="7"/>
  <c r="N21" i="7"/>
  <c r="S17" i="7"/>
  <c r="S18" i="7"/>
  <c r="S22" i="7" s="1"/>
  <c r="S19" i="7"/>
  <c r="S20" i="7"/>
  <c r="S21" i="7"/>
  <c r="S24" i="7" s="1"/>
  <c r="AH19" i="1"/>
  <c r="AE19" i="1"/>
  <c r="AF19" i="1"/>
  <c r="M16" i="8"/>
  <c r="M17" i="8"/>
  <c r="M21" i="8" s="1"/>
  <c r="M18" i="8"/>
  <c r="M19" i="8"/>
  <c r="M20" i="8"/>
  <c r="M23" i="8" s="1"/>
  <c r="Z20" i="1"/>
  <c r="W20" i="1"/>
  <c r="X20" i="1"/>
  <c r="R5" i="8"/>
  <c r="O16" i="8"/>
  <c r="O17" i="8"/>
  <c r="O21" i="8" s="1"/>
  <c r="O18" i="8"/>
  <c r="O19" i="8"/>
  <c r="O20" i="8"/>
  <c r="P6" i="8"/>
  <c r="P10" i="8"/>
  <c r="R12" i="8"/>
  <c r="P11" i="8"/>
  <c r="Q11" i="8"/>
  <c r="R6" i="8"/>
  <c r="R9" i="8"/>
  <c r="Q10" i="8"/>
  <c r="R11" i="8"/>
  <c r="Q6" i="8"/>
  <c r="R8" i="8"/>
  <c r="P9" i="8"/>
  <c r="Q9" i="8"/>
  <c r="R9" i="7"/>
  <c r="R5" i="7"/>
  <c r="Q5" i="7"/>
  <c r="P7" i="7"/>
  <c r="P9" i="7"/>
  <c r="Q9" i="7"/>
  <c r="Q11" i="7"/>
  <c r="Q7" i="7"/>
  <c r="P8" i="7"/>
  <c r="Q12" i="7"/>
  <c r="R11" i="7"/>
  <c r="Q6" i="7"/>
  <c r="R6" i="7"/>
  <c r="P11" i="7"/>
  <c r="P7" i="8"/>
  <c r="P12" i="8"/>
  <c r="R10" i="8"/>
  <c r="R7" i="8"/>
  <c r="P8" i="8"/>
  <c r="P5" i="8"/>
  <c r="R8" i="7"/>
  <c r="R7" i="7"/>
  <c r="Q8" i="7"/>
  <c r="P12" i="7"/>
  <c r="P6" i="7"/>
  <c r="P10" i="7"/>
  <c r="P5" i="7"/>
  <c r="P7" i="6"/>
  <c r="R5" i="6"/>
  <c r="P8" i="6"/>
  <c r="R9" i="6"/>
  <c r="P5" i="6"/>
  <c r="P9" i="6"/>
  <c r="P10" i="6"/>
  <c r="Q5" i="5"/>
  <c r="P8" i="5"/>
  <c r="P7" i="5"/>
  <c r="R8" i="5"/>
  <c r="P6" i="5"/>
  <c r="R7" i="5"/>
  <c r="P9" i="5"/>
  <c r="P5" i="4"/>
  <c r="Q6" i="4"/>
  <c r="P8" i="4"/>
  <c r="P7" i="4"/>
  <c r="R8" i="4"/>
  <c r="R7" i="4"/>
  <c r="P9" i="4"/>
  <c r="P7" i="3"/>
  <c r="P10" i="3"/>
  <c r="Q6" i="3"/>
  <c r="P9" i="3"/>
  <c r="P5" i="3"/>
  <c r="R6" i="3"/>
  <c r="R9" i="3"/>
  <c r="P8" i="3"/>
  <c r="Q6" i="2"/>
  <c r="P5" i="2"/>
  <c r="R9" i="2"/>
  <c r="P8" i="2"/>
  <c r="P10" i="2"/>
  <c r="P9" i="2"/>
  <c r="R6" i="2"/>
  <c r="P16" i="2" l="1"/>
  <c r="P15" i="2"/>
  <c r="P14" i="2"/>
  <c r="P13" i="2"/>
  <c r="P17" i="2" s="1"/>
  <c r="P12" i="2"/>
  <c r="AB14" i="1"/>
  <c r="AD14" i="1"/>
  <c r="AA14" i="1"/>
  <c r="P16" i="4"/>
  <c r="P17" i="4"/>
  <c r="P21" i="4" s="1"/>
  <c r="P18" i="4"/>
  <c r="P19" i="4"/>
  <c r="P20" i="4"/>
  <c r="AB16" i="1"/>
  <c r="AD16" i="1"/>
  <c r="AA16" i="1"/>
  <c r="P14" i="6"/>
  <c r="P15" i="6"/>
  <c r="P19" i="6" s="1"/>
  <c r="P16" i="6"/>
  <c r="P17" i="6"/>
  <c r="P18" i="6"/>
  <c r="P21" i="6" s="1"/>
  <c r="AB18" i="1"/>
  <c r="AD18" i="1"/>
  <c r="AA18" i="1"/>
  <c r="P16" i="8"/>
  <c r="P17" i="8"/>
  <c r="P21" i="8" s="1"/>
  <c r="P18" i="8"/>
  <c r="P19" i="8"/>
  <c r="P20" i="8"/>
  <c r="P23" i="8" s="1"/>
  <c r="AB20" i="1"/>
  <c r="AD20" i="1"/>
  <c r="AA20" i="1"/>
  <c r="R17" i="7"/>
  <c r="R18" i="7"/>
  <c r="R22" i="7" s="1"/>
  <c r="R19" i="7"/>
  <c r="R20" i="7"/>
  <c r="R21" i="7"/>
  <c r="R24" i="7" s="1"/>
  <c r="AP19" i="1"/>
  <c r="AM19" i="1"/>
  <c r="AN19" i="1"/>
  <c r="R16" i="8"/>
  <c r="R17" i="8"/>
  <c r="R21" i="8" s="1"/>
  <c r="R18" i="8"/>
  <c r="R19" i="8"/>
  <c r="R20" i="8"/>
  <c r="R23" i="8" s="1"/>
  <c r="AP20" i="1"/>
  <c r="AM20" i="1"/>
  <c r="AN20" i="1"/>
  <c r="R13" i="5"/>
  <c r="R14" i="5"/>
  <c r="R18" i="5" s="1"/>
  <c r="R15" i="5"/>
  <c r="R16" i="5"/>
  <c r="R17" i="5"/>
  <c r="R20" i="5" s="1"/>
  <c r="AP17" i="1"/>
  <c r="AM17" i="1"/>
  <c r="AN17" i="1"/>
  <c r="R16" i="4"/>
  <c r="R17" i="4"/>
  <c r="R21" i="4" s="1"/>
  <c r="R18" i="4"/>
  <c r="R19" i="4"/>
  <c r="R20" i="4"/>
  <c r="AP16" i="1"/>
  <c r="AM16" i="1"/>
  <c r="AN16" i="1"/>
  <c r="Q16" i="4"/>
  <c r="Q17" i="4"/>
  <c r="Q21" i="4" s="1"/>
  <c r="Q18" i="4"/>
  <c r="Q19" i="4"/>
  <c r="Q20" i="4"/>
  <c r="AJ16" i="1"/>
  <c r="AL16" i="1"/>
  <c r="AI16" i="1"/>
  <c r="R15" i="3"/>
  <c r="R16" i="3"/>
  <c r="R20" i="3" s="1"/>
  <c r="R17" i="3"/>
  <c r="R18" i="3"/>
  <c r="R19" i="3"/>
  <c r="AP15" i="1"/>
  <c r="AM15" i="1"/>
  <c r="AN15" i="1"/>
  <c r="AF22" i="1"/>
  <c r="AF26" i="1" s="1"/>
  <c r="AF24" i="1"/>
  <c r="AF25" i="1"/>
  <c r="AF23" i="1"/>
  <c r="AH22" i="1"/>
  <c r="AH26" i="1" s="1"/>
  <c r="AH24" i="1"/>
  <c r="AH25" i="1"/>
  <c r="AH23" i="1"/>
  <c r="Q16" i="8"/>
  <c r="Q17" i="8"/>
  <c r="Q21" i="8" s="1"/>
  <c r="Q18" i="8"/>
  <c r="Q19" i="8"/>
  <c r="Q20" i="8"/>
  <c r="Q23" i="8" s="1"/>
  <c r="AJ20" i="1"/>
  <c r="AL20" i="1"/>
  <c r="AI20" i="1"/>
  <c r="P13" i="5"/>
  <c r="P14" i="5"/>
  <c r="P18" i="5" s="1"/>
  <c r="P15" i="5"/>
  <c r="P16" i="5"/>
  <c r="P17" i="5"/>
  <c r="P20" i="5" s="1"/>
  <c r="AB17" i="1"/>
  <c r="AD17" i="1"/>
  <c r="AA17" i="1"/>
  <c r="Q15" i="3"/>
  <c r="Q16" i="3"/>
  <c r="Q20" i="3" s="1"/>
  <c r="Q17" i="3"/>
  <c r="Q18" i="3"/>
  <c r="Q19" i="3"/>
  <c r="AJ15" i="1"/>
  <c r="AL15" i="1"/>
  <c r="AI15" i="1"/>
  <c r="W23" i="1"/>
  <c r="W25" i="1"/>
  <c r="W24" i="1"/>
  <c r="W22" i="1"/>
  <c r="W26" i="1" s="1"/>
  <c r="P15" i="3"/>
  <c r="P16" i="3"/>
  <c r="P20" i="3" s="1"/>
  <c r="P17" i="3"/>
  <c r="P18" i="3"/>
  <c r="P19" i="3"/>
  <c r="AB15" i="1"/>
  <c r="AD15" i="1"/>
  <c r="AA15" i="1"/>
  <c r="Q13" i="5"/>
  <c r="Q14" i="5"/>
  <c r="Q18" i="5" s="1"/>
  <c r="Q15" i="5"/>
  <c r="Q16" i="5"/>
  <c r="Q17" i="5"/>
  <c r="Q20" i="5" s="1"/>
  <c r="AJ17" i="1"/>
  <c r="AL17" i="1"/>
  <c r="AI17" i="1"/>
  <c r="R14" i="6"/>
  <c r="R15" i="6"/>
  <c r="R19" i="6" s="1"/>
  <c r="R16" i="6"/>
  <c r="R17" i="6"/>
  <c r="R18" i="6"/>
  <c r="R21" i="6" s="1"/>
  <c r="AP18" i="1"/>
  <c r="AM18" i="1"/>
  <c r="AN18" i="1"/>
  <c r="P17" i="7"/>
  <c r="P18" i="7"/>
  <c r="P22" i="7" s="1"/>
  <c r="P19" i="7"/>
  <c r="P20" i="7"/>
  <c r="P21" i="7"/>
  <c r="P24" i="7" s="1"/>
  <c r="AB19" i="1"/>
  <c r="AD19" i="1"/>
  <c r="AA19" i="1"/>
  <c r="Q17" i="7"/>
  <c r="Q18" i="7"/>
  <c r="Q22" i="7" s="1"/>
  <c r="Q19" i="7"/>
  <c r="Q20" i="7"/>
  <c r="Q21" i="7"/>
  <c r="Q24" i="7" s="1"/>
  <c r="AJ19" i="1"/>
  <c r="AL19" i="1"/>
  <c r="AI19" i="1"/>
  <c r="O23" i="8"/>
  <c r="N24" i="7"/>
  <c r="O20" i="5"/>
  <c r="AE23" i="1"/>
  <c r="AE25" i="1"/>
  <c r="AE24" i="1"/>
  <c r="AE22" i="1"/>
  <c r="AE26" i="1" s="1"/>
  <c r="Q16" i="2"/>
  <c r="Q15" i="2"/>
  <c r="Q14" i="2"/>
  <c r="Q13" i="2"/>
  <c r="Q17" i="2" s="1"/>
  <c r="Q12" i="2"/>
  <c r="AJ14" i="1"/>
  <c r="AL14" i="1"/>
  <c r="AI14" i="1"/>
  <c r="N23" i="8"/>
  <c r="L23" i="8"/>
  <c r="M24" i="7"/>
  <c r="L24" i="7"/>
  <c r="S21" i="6"/>
  <c r="Q14" i="6"/>
  <c r="Q15" i="6"/>
  <c r="Q19" i="6" s="1"/>
  <c r="Q16" i="6"/>
  <c r="Q17" i="6"/>
  <c r="Q18" i="6"/>
  <c r="Q21" i="6" s="1"/>
  <c r="AJ18" i="1"/>
  <c r="AL18" i="1"/>
  <c r="AI18" i="1"/>
  <c r="N20" i="5"/>
  <c r="L20" i="5"/>
  <c r="R16" i="2"/>
  <c r="R15" i="2"/>
  <c r="R14" i="2"/>
  <c r="R13" i="2"/>
  <c r="R17" i="2" s="1"/>
  <c r="R12" i="2"/>
  <c r="AP14" i="1"/>
  <c r="AM14" i="1"/>
  <c r="AN14" i="1"/>
  <c r="X22" i="1"/>
  <c r="X26" i="1" s="1"/>
  <c r="X24" i="1"/>
  <c r="X25" i="1"/>
  <c r="X23" i="1"/>
  <c r="Z22" i="1"/>
  <c r="Z26" i="1" s="1"/>
  <c r="Z24" i="1"/>
  <c r="Z25" i="1"/>
  <c r="Z23" i="1"/>
  <c r="AM23" i="1" l="1"/>
  <c r="AM25" i="1"/>
  <c r="AM24" i="1"/>
  <c r="AM22" i="1"/>
  <c r="AM26" i="1" s="1"/>
  <c r="AI23" i="1"/>
  <c r="AI25" i="1"/>
  <c r="AI24" i="1"/>
  <c r="AI22" i="1"/>
  <c r="AI26" i="1" s="1"/>
  <c r="AJ22" i="1"/>
  <c r="AJ26" i="1" s="1"/>
  <c r="AJ24" i="1"/>
  <c r="AJ23" i="1"/>
  <c r="AJ25" i="1"/>
  <c r="AD22" i="1"/>
  <c r="AD26" i="1" s="1"/>
  <c r="AD24" i="1"/>
  <c r="AD23" i="1"/>
  <c r="AD25" i="1"/>
  <c r="AN22" i="1"/>
  <c r="AN26" i="1" s="1"/>
  <c r="AN24" i="1"/>
  <c r="AN25" i="1"/>
  <c r="AN23" i="1"/>
  <c r="AP22" i="1"/>
  <c r="AP26" i="1" s="1"/>
  <c r="AP24" i="1"/>
  <c r="AP25" i="1"/>
  <c r="AP23" i="1"/>
  <c r="AL22" i="1"/>
  <c r="AL26" i="1" s="1"/>
  <c r="AL24" i="1"/>
  <c r="AL23" i="1"/>
  <c r="AL25" i="1"/>
  <c r="AA23" i="1"/>
  <c r="AA25" i="1"/>
  <c r="AA24" i="1"/>
  <c r="AA22" i="1"/>
  <c r="AA26" i="1" s="1"/>
  <c r="AB22" i="1"/>
  <c r="AB26" i="1" s="1"/>
  <c r="AB24" i="1"/>
  <c r="AB23" i="1"/>
  <c r="AB25" i="1"/>
</calcChain>
</file>

<file path=xl/comments1.xml><?xml version="1.0" encoding="utf-8"?>
<comments xmlns="http://schemas.openxmlformats.org/spreadsheetml/2006/main">
  <authors>
    <author>B. J. Andrews</author>
  </authors>
  <commentList>
    <comment ref="C11" authorId="0" shapeId="0">
      <text>
        <r>
          <rPr>
            <sz val="9"/>
            <color indexed="81"/>
            <rFont val="Tahoma"/>
            <family val="2"/>
          </rPr>
          <t>The number of fracture intersections with the circular scanline.</t>
        </r>
      </text>
    </comment>
    <comment ref="K11" authorId="0" shapeId="0">
      <text>
        <r>
          <rPr>
            <sz val="9"/>
            <color indexed="81"/>
            <rFont val="Tahoma"/>
            <family val="2"/>
          </rPr>
          <t>Topology notation following Sanderson and Nixon (2015)</t>
        </r>
      </text>
    </comment>
    <comment ref="C12" authorId="0" shapeId="0">
      <text>
        <r>
          <rPr>
            <sz val="9"/>
            <color indexed="81"/>
            <rFont val="Tahoma"/>
            <family val="2"/>
          </rPr>
          <t>Nc is the same as n in equations used by Mauldon et al. (2001).</t>
        </r>
      </text>
    </comment>
    <comment ref="G12" authorId="0" shapeId="0">
      <text>
        <r>
          <rPr>
            <sz val="9"/>
            <color indexed="81"/>
            <rFont val="Tahoma"/>
            <family val="2"/>
          </rPr>
          <t>The time taken by participants to count Nc</t>
        </r>
      </text>
    </comment>
    <comment ref="K12" authorId="0" shapeId="0">
      <text>
        <r>
          <rPr>
            <sz val="9"/>
            <color indexed="81"/>
            <rFont val="Tahoma"/>
            <family val="2"/>
          </rPr>
          <t>Number of i-nodes (fracture terminating into rock) recoded by a participant</t>
        </r>
      </text>
    </comment>
    <comment ref="O12" authorId="0" shapeId="0">
      <text>
        <r>
          <rPr>
            <sz val="9"/>
            <color indexed="81"/>
            <rFont val="Tahoma"/>
            <family val="2"/>
          </rPr>
          <t>Number of y-nodes (fracture terminating into another fracture) recoded by a participant</t>
        </r>
      </text>
    </comment>
    <comment ref="S12" authorId="0" shapeId="0">
      <text>
        <r>
          <rPr>
            <sz val="9"/>
            <color indexed="81"/>
            <rFont val="Tahoma"/>
            <family val="2"/>
          </rPr>
          <t>Number of x-nodes (point where a fracture crossing another fracture) recoded by a participant</t>
        </r>
      </text>
    </comment>
    <comment ref="W12" authorId="0" shapeId="0">
      <text>
        <r>
          <rPr>
            <sz val="9"/>
            <color indexed="81"/>
            <rFont val="Tahoma"/>
            <family val="2"/>
          </rPr>
          <t>The time taken for a participant to record all node types within a circular scanline.</t>
        </r>
      </text>
    </comment>
    <comment ref="AA12" authorId="0" shapeId="0">
      <text>
        <r>
          <rPr>
            <sz val="9"/>
            <color indexed="81"/>
            <rFont val="Tahoma"/>
            <family val="2"/>
          </rPr>
          <t>Mean trace length estimator (Mauldon et al., 2001). 
Tl = [Nc / (Ni+Ny)] *  [(Pi*r) / 2]
* Note Ni + Ny = number of fracture terminations within the circule (m)</t>
        </r>
      </text>
    </comment>
    <comment ref="AE12" authorId="0" shapeId="0">
      <text>
        <r>
          <rPr>
            <sz val="9"/>
            <color indexed="81"/>
            <rFont val="Tahoma"/>
            <family val="2"/>
          </rPr>
          <t>The percentage of connected branches (Pc) (Sanderson and Nixon, 2015)
Pc = (3Ny + 4Nx) / (Ni + 3Ny + 4Nx)</t>
        </r>
      </text>
    </comment>
    <comment ref="AI12" authorId="0" shapeId="0">
      <text>
        <r>
          <rPr>
            <sz val="9"/>
            <color indexed="81"/>
            <rFont val="Tahoma"/>
            <family val="2"/>
          </rPr>
          <t>Fracture intensity (fractures per meter) (Mauldon et al., 2001). 
I = Nc / 4r
r = radius of the circular scanline.</t>
        </r>
      </text>
    </comment>
    <comment ref="AM12" authorId="0" shapeId="0">
      <text>
        <r>
          <rPr>
            <sz val="9"/>
            <color indexed="81"/>
            <rFont val="Tahoma"/>
            <family val="2"/>
          </rPr>
          <t>Fracture Density (fractures per unit area, D) (Mauldon et al., 2001)
D = (Ni + Ny) / (2*pi*r^2)
r = radius of the circular scanline.
* Note Ni + Ny = number of fracture terminations within the circule (m)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>Scanlines are presented in the order undertaken in the workshops</t>
        </r>
      </text>
    </comment>
  </commentList>
</comments>
</file>

<file path=xl/comments2.xml><?xml version="1.0" encoding="utf-8"?>
<comments xmlns="http://schemas.openxmlformats.org/spreadsheetml/2006/main">
  <authors>
    <author>Billy Andrews</author>
  </authors>
  <commentList>
    <comment ref="G7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 Nc = 22, t = 42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Zoe repeated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Zoe repeated edge again Nc 20. t=23</t>
        </r>
      </text>
    </comment>
  </commentList>
</comments>
</file>

<file path=xl/comments3.xml><?xml version="1.0" encoding="utf-8"?>
<comments xmlns="http://schemas.openxmlformats.org/spreadsheetml/2006/main">
  <authors>
    <author>Billy Andrews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 edge: Nc 22, t 48s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Nc 22
t 48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 
Nc 24
Nc 22 t 20
Nc 22 t 24 </t>
        </r>
      </text>
    </comment>
  </commentList>
</comments>
</file>

<file path=xl/comments4.xml><?xml version="1.0" encoding="utf-8"?>
<comments xmlns="http://schemas.openxmlformats.org/spreadsheetml/2006/main">
  <authors>
    <author>Billy Andrews</author>
  </authors>
  <commentList>
    <comment ref="G7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 edge 
Nc 15 t 41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 edge
Nc 16 t 22</t>
        </r>
      </text>
    </comment>
  </commentList>
</comments>
</file>

<file path=xl/comments5.xml><?xml version="1.0" encoding="utf-8"?>
<comments xmlns="http://schemas.openxmlformats.org/spreadsheetml/2006/main">
  <authors>
    <author>Billy Andrews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 Nc = 16 t = 31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 Nc 12 t 12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 
Nc 18
t= 13</t>
        </r>
      </text>
    </comment>
  </commentList>
</comments>
</file>

<file path=xl/comments6.xml><?xml version="1.0" encoding="utf-8"?>
<comments xmlns="http://schemas.openxmlformats.org/spreadsheetml/2006/main">
  <authors>
    <author>Billy Andrews</author>
  </authors>
  <commentList>
    <comment ref="G7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 
Nc 7
t = 24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
Nc = 8 t = 18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 Nc 
9 in 19s</t>
        </r>
      </text>
    </comment>
  </commentList>
</comments>
</file>

<file path=xl/comments7.xml><?xml version="1.0" encoding="utf-8"?>
<comments xmlns="http://schemas.openxmlformats.org/spreadsheetml/2006/main">
  <authors>
    <author>Billy Andrews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repeated
21 in 24s
20 in 27s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>Billy Andrews:</t>
        </r>
        <r>
          <rPr>
            <sz val="9"/>
            <color indexed="81"/>
            <rFont val="Tahoma"/>
            <family val="2"/>
          </rPr>
          <t xml:space="preserve">
Interpreted two weathering planes as fractures</t>
        </r>
      </text>
    </comment>
  </commentList>
</comments>
</file>

<file path=xl/sharedStrings.xml><?xml version="1.0" encoding="utf-8"?>
<sst xmlns="http://schemas.openxmlformats.org/spreadsheetml/2006/main" count="328" uniqueCount="63">
  <si>
    <t>C1</t>
  </si>
  <si>
    <t>C2</t>
  </si>
  <si>
    <t>C3</t>
  </si>
  <si>
    <t>C4</t>
  </si>
  <si>
    <t>C5</t>
  </si>
  <si>
    <t>C6</t>
  </si>
  <si>
    <t>C7</t>
  </si>
  <si>
    <t>Edge</t>
  </si>
  <si>
    <t>Nodes</t>
  </si>
  <si>
    <t>Nc</t>
  </si>
  <si>
    <t>i</t>
  </si>
  <si>
    <t>y</t>
  </si>
  <si>
    <t>x</t>
  </si>
  <si>
    <t>n</t>
  </si>
  <si>
    <t>m</t>
  </si>
  <si>
    <t>Tl</t>
  </si>
  <si>
    <t>Intensity</t>
  </si>
  <si>
    <t>Pc</t>
  </si>
  <si>
    <t>A</t>
  </si>
  <si>
    <t>B</t>
  </si>
  <si>
    <t>C</t>
  </si>
  <si>
    <t>D</t>
  </si>
  <si>
    <t>G</t>
  </si>
  <si>
    <t>-</t>
  </si>
  <si>
    <t>Density</t>
  </si>
  <si>
    <t>Node Count</t>
  </si>
  <si>
    <t>Fracture statstics</t>
  </si>
  <si>
    <t>Nc (t)</t>
  </si>
  <si>
    <t>i-node</t>
  </si>
  <si>
    <t>y-node</t>
  </si>
  <si>
    <t>x-node</t>
  </si>
  <si>
    <t>Node time (s)</t>
  </si>
  <si>
    <t>Mean trace length</t>
  </si>
  <si>
    <t>Connectivity</t>
  </si>
  <si>
    <t>scanline</t>
  </si>
  <si>
    <t>min</t>
  </si>
  <si>
    <t>max</t>
  </si>
  <si>
    <t>average</t>
  </si>
  <si>
    <t>Sheet name</t>
  </si>
  <si>
    <t>Description</t>
  </si>
  <si>
    <t>Circle radius</t>
  </si>
  <si>
    <t>Raw data</t>
  </si>
  <si>
    <t>Fracture statistics</t>
  </si>
  <si>
    <t>radius</t>
  </si>
  <si>
    <t>P</t>
  </si>
  <si>
    <t>Q1</t>
  </si>
  <si>
    <t>Q2</t>
  </si>
  <si>
    <t>Q3</t>
  </si>
  <si>
    <t>T(Nc) (s)</t>
  </si>
  <si>
    <t>T(Nodes) (s)</t>
  </si>
  <si>
    <t>I</t>
  </si>
  <si>
    <t xml:space="preserve">All sheets contain the raw Nc and node (i-, Y- ,and x) recorded by participants in the field and the fracture statistics (Intensity, Density, Connectivity and mean trace length) for the given circular scanline. </t>
  </si>
  <si>
    <t>Repeats</t>
  </si>
  <si>
    <t>F</t>
  </si>
  <si>
    <t>Data recorded in the field</t>
  </si>
  <si>
    <t>Summary of recorded data</t>
  </si>
  <si>
    <t>E</t>
  </si>
  <si>
    <t>Mean</t>
  </si>
  <si>
    <t>Median</t>
  </si>
  <si>
    <t>Range</t>
  </si>
  <si>
    <t>CoV</t>
  </si>
  <si>
    <t>range/median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</si>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</sst>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77">
    <xf numFmtId="0" fontId="0" fillId="0" borderId="0" xfId="0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2" fontId="0" fillId="0" borderId="17" xfId="0" applyNumberForma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0" xfId="0" applyBorder="1"/>
    <xf numFmtId="0" fontId="0" fillId="0" borderId="19" xfId="0" applyBorder="1"/>
    <xf numFmtId="2" fontId="2" fillId="0" borderId="0" xfId="0" applyNumberFormat="1" applyFont="1" applyFill="1" applyBorder="1"/>
    <xf numFmtId="0" fontId="0" fillId="0" borderId="0" xfId="0" applyFill="1" applyBorder="1"/>
    <xf numFmtId="2" fontId="0" fillId="0" borderId="12" xfId="0" applyNumberFormat="1" applyFill="1" applyBorder="1"/>
    <xf numFmtId="0" fontId="0" fillId="0" borderId="13" xfId="0" applyBorder="1"/>
    <xf numFmtId="0" fontId="0" fillId="0" borderId="16" xfId="0" applyBorder="1"/>
    <xf numFmtId="0" fontId="0" fillId="0" borderId="15" xfId="0" applyBorder="1"/>
    <xf numFmtId="0" fontId="0" fillId="0" borderId="20" xfId="0" applyBorder="1"/>
    <xf numFmtId="2" fontId="2" fillId="0" borderId="15" xfId="0" applyNumberFormat="1" applyFont="1" applyFill="1" applyBorder="1"/>
    <xf numFmtId="0" fontId="0" fillId="0" borderId="15" xfId="0" applyFill="1" applyBorder="1"/>
    <xf numFmtId="2" fontId="0" fillId="0" borderId="17" xfId="0" applyNumberFormat="1" applyFill="1" applyBorder="1"/>
    <xf numFmtId="0" fontId="0" fillId="0" borderId="23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3" xfId="0" applyBorder="1"/>
    <xf numFmtId="0" fontId="0" fillId="0" borderId="18" xfId="0" applyBorder="1"/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19" xfId="0" applyFill="1" applyBorder="1"/>
    <xf numFmtId="0" fontId="0" fillId="0" borderId="20" xfId="0" applyFill="1" applyBorder="1"/>
    <xf numFmtId="0" fontId="0" fillId="0" borderId="23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9" fontId="0" fillId="0" borderId="12" xfId="1" applyFont="1" applyFill="1" applyBorder="1" applyAlignment="1">
      <alignment horizontal="center"/>
    </xf>
    <xf numFmtId="9" fontId="0" fillId="0" borderId="17" xfId="1" applyFont="1" applyFill="1" applyBorder="1" applyAlignment="1">
      <alignment horizontal="center"/>
    </xf>
    <xf numFmtId="0" fontId="0" fillId="0" borderId="26" xfId="0" applyFill="1" applyBorder="1"/>
    <xf numFmtId="0" fontId="0" fillId="0" borderId="25" xfId="0" applyFill="1" applyBorder="1"/>
    <xf numFmtId="0" fontId="0" fillId="0" borderId="17" xfId="0" applyFill="1" applyBorder="1"/>
    <xf numFmtId="0" fontId="0" fillId="0" borderId="23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2" fontId="2" fillId="0" borderId="15" xfId="0" applyNumberFormat="1" applyFont="1" applyFill="1" applyBorder="1" applyAlignment="1">
      <alignment horizontal="center" vertical="center"/>
    </xf>
    <xf numFmtId="2" fontId="0" fillId="0" borderId="17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164" fontId="0" fillId="0" borderId="0" xfId="0" applyNumberFormat="1" applyBorder="1"/>
    <xf numFmtId="2" fontId="0" fillId="0" borderId="0" xfId="0" applyNumberFormat="1" applyBorder="1"/>
    <xf numFmtId="2" fontId="0" fillId="0" borderId="12" xfId="0" applyNumberFormat="1" applyBorder="1"/>
    <xf numFmtId="164" fontId="0" fillId="0" borderId="15" xfId="0" applyNumberFormat="1" applyBorder="1"/>
    <xf numFmtId="2" fontId="0" fillId="0" borderId="15" xfId="0" applyNumberFormat="1" applyBorder="1"/>
    <xf numFmtId="2" fontId="0" fillId="0" borderId="17" xfId="0" applyNumberFormat="1" applyBorder="1"/>
    <xf numFmtId="164" fontId="0" fillId="0" borderId="12" xfId="0" applyNumberFormat="1" applyBorder="1"/>
    <xf numFmtId="164" fontId="0" fillId="0" borderId="17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11" xfId="0" applyNumberFormat="1" applyBorder="1"/>
    <xf numFmtId="2" fontId="0" fillId="0" borderId="16" xfId="0" applyNumberFormat="1" applyBorder="1"/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3" borderId="39" xfId="0" applyFill="1" applyBorder="1"/>
    <xf numFmtId="2" fontId="0" fillId="0" borderId="26" xfId="0" applyNumberFormat="1" applyBorder="1"/>
    <xf numFmtId="2" fontId="0" fillId="0" borderId="44" xfId="0" applyNumberFormat="1" applyBorder="1"/>
    <xf numFmtId="2" fontId="0" fillId="0" borderId="45" xfId="0" applyNumberFormat="1" applyBorder="1"/>
    <xf numFmtId="9" fontId="0" fillId="0" borderId="45" xfId="1" applyFont="1" applyBorder="1"/>
    <xf numFmtId="9" fontId="0" fillId="0" borderId="25" xfId="1" applyFont="1" applyBorder="1"/>
    <xf numFmtId="0" fontId="0" fillId="3" borderId="43" xfId="0" applyFill="1" applyBorder="1"/>
    <xf numFmtId="2" fontId="0" fillId="0" borderId="10" xfId="0" applyNumberFormat="1" applyBorder="1"/>
    <xf numFmtId="9" fontId="0" fillId="0" borderId="10" xfId="1" applyFont="1" applyBorder="1"/>
    <xf numFmtId="9" fontId="0" fillId="0" borderId="12" xfId="1" applyFont="1" applyBorder="1"/>
    <xf numFmtId="0" fontId="0" fillId="3" borderId="40" xfId="0" applyFill="1" applyBorder="1"/>
    <xf numFmtId="2" fontId="0" fillId="0" borderId="14" xfId="0" applyNumberFormat="1" applyBorder="1"/>
    <xf numFmtId="0" fontId="0" fillId="4" borderId="0" xfId="0" applyFill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25" xfId="0" applyNumberFormat="1" applyBorder="1"/>
    <xf numFmtId="0" fontId="0" fillId="0" borderId="12" xfId="0" applyBorder="1"/>
    <xf numFmtId="0" fontId="1" fillId="2" borderId="2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0" borderId="3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wrapText="1"/>
    </xf>
    <xf numFmtId="0" fontId="0" fillId="2" borderId="3" xfId="0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2" borderId="24" xfId="0" applyFont="1" applyFill="1" applyBorder="1" applyAlignment="1">
      <alignment horizontal="center" wrapText="1"/>
    </xf>
    <xf numFmtId="0" fontId="0" fillId="2" borderId="25" xfId="0" applyFont="1" applyFill="1" applyBorder="1" applyAlignment="1">
      <alignment horizontal="center" wrapText="1"/>
    </xf>
    <xf numFmtId="0" fontId="0" fillId="2" borderId="24" xfId="0" applyFont="1" applyFill="1" applyBorder="1" applyAlignment="1">
      <alignment horizontal="center" vertical="center" wrapText="1"/>
    </xf>
    <xf numFmtId="0" fontId="0" fillId="2" borderId="26" xfId="0" applyFont="1" applyFill="1" applyBorder="1" applyAlignment="1">
      <alignment horizontal="center" vertical="center" wrapText="1"/>
    </xf>
    <xf numFmtId="0" fontId="0" fillId="2" borderId="25" xfId="0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32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'C1'!$G$5:$G$10</c:f>
              <c:numCache>
                <c:formatCode>General</c:formatCode>
                <c:ptCount val="6"/>
                <c:pt idx="0">
                  <c:v>15</c:v>
                </c:pt>
                <c:pt idx="1">
                  <c:v>19</c:v>
                </c:pt>
                <c:pt idx="2">
                  <c:v>16</c:v>
                </c:pt>
                <c:pt idx="3">
                  <c:v>16</c:v>
                </c:pt>
                <c:pt idx="4">
                  <c:v>18</c:v>
                </c:pt>
                <c:pt idx="5">
                  <c:v>21</c:v>
                </c:pt>
              </c:numCache>
            </c:numRef>
          </c:xVal>
          <c:yVal>
            <c:numRef>
              <c:f>'C1'!$H$5:$H$10</c:f>
              <c:numCache>
                <c:formatCode>General</c:formatCode>
                <c:ptCount val="6"/>
                <c:pt idx="0">
                  <c:v>22</c:v>
                </c:pt>
                <c:pt idx="1">
                  <c:v>29</c:v>
                </c:pt>
                <c:pt idx="2">
                  <c:v>42</c:v>
                </c:pt>
                <c:pt idx="3">
                  <c:v>30</c:v>
                </c:pt>
                <c:pt idx="4">
                  <c:v>19</c:v>
                </c:pt>
                <c:pt idx="5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D9-4D01-BD61-85FAB51D2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511392"/>
        <c:axId val="484508064"/>
      </c:scatterChart>
      <c:valAx>
        <c:axId val="48451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508064"/>
        <c:crosses val="autoZero"/>
        <c:crossBetween val="midCat"/>
      </c:valAx>
      <c:valAx>
        <c:axId val="48450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51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'C2'!$G$5:$G$12</c:f>
              <c:numCache>
                <c:formatCode>General</c:formatCode>
                <c:ptCount val="8"/>
                <c:pt idx="0">
                  <c:v>15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20</c:v>
                </c:pt>
              </c:numCache>
            </c:numRef>
          </c:xVal>
          <c:yVal>
            <c:numRef>
              <c:f>'C2'!$H$5:$H$12</c:f>
              <c:numCache>
                <c:formatCode>General</c:formatCode>
                <c:ptCount val="8"/>
                <c:pt idx="0">
                  <c:v>22</c:v>
                </c:pt>
                <c:pt idx="1">
                  <c:v>47</c:v>
                </c:pt>
                <c:pt idx="2">
                  <c:v>50</c:v>
                </c:pt>
                <c:pt idx="3">
                  <c:v>22</c:v>
                </c:pt>
                <c:pt idx="4">
                  <c:v>25</c:v>
                </c:pt>
                <c:pt idx="5">
                  <c:v>47</c:v>
                </c:pt>
                <c:pt idx="6">
                  <c:v>42</c:v>
                </c:pt>
                <c:pt idx="7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A-45E6-B809-E110673D8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512224"/>
        <c:axId val="484505984"/>
      </c:scatterChart>
      <c:valAx>
        <c:axId val="48451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505984"/>
        <c:crosses val="autoZero"/>
        <c:crossBetween val="midCat"/>
      </c:valAx>
      <c:valAx>
        <c:axId val="48450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51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'C3'!$G$5:$G$13</c:f>
              <c:numCache>
                <c:formatCode>General</c:formatCode>
                <c:ptCount val="9"/>
                <c:pt idx="0">
                  <c:v>22</c:v>
                </c:pt>
                <c:pt idx="1">
                  <c:v>30</c:v>
                </c:pt>
                <c:pt idx="2">
                  <c:v>19</c:v>
                </c:pt>
                <c:pt idx="3">
                  <c:v>21</c:v>
                </c:pt>
                <c:pt idx="4">
                  <c:v>23</c:v>
                </c:pt>
                <c:pt idx="5">
                  <c:v>22</c:v>
                </c:pt>
                <c:pt idx="6">
                  <c:v>24</c:v>
                </c:pt>
                <c:pt idx="7">
                  <c:v>22</c:v>
                </c:pt>
                <c:pt idx="8">
                  <c:v>22</c:v>
                </c:pt>
              </c:numCache>
            </c:numRef>
          </c:xVal>
          <c:yVal>
            <c:numRef>
              <c:f>'C3'!$H$5:$H$13</c:f>
              <c:numCache>
                <c:formatCode>General</c:formatCode>
                <c:ptCount val="9"/>
                <c:pt idx="0">
                  <c:v>36</c:v>
                </c:pt>
                <c:pt idx="1">
                  <c:v>58</c:v>
                </c:pt>
                <c:pt idx="2">
                  <c:v>41</c:v>
                </c:pt>
                <c:pt idx="3">
                  <c:v>24</c:v>
                </c:pt>
                <c:pt idx="4">
                  <c:v>57</c:v>
                </c:pt>
                <c:pt idx="5">
                  <c:v>48</c:v>
                </c:pt>
                <c:pt idx="7">
                  <c:v>20</c:v>
                </c:pt>
                <c:pt idx="8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7C-4A4D-B99B-CFBB4F75C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486544"/>
        <c:axId val="398538080"/>
      </c:scatterChart>
      <c:valAx>
        <c:axId val="481486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538080"/>
        <c:crosses val="autoZero"/>
        <c:crossBetween val="midCat"/>
      </c:valAx>
      <c:valAx>
        <c:axId val="39853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486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'C4'!$G$5:$G$11</c:f>
              <c:numCache>
                <c:formatCode>General</c:formatCode>
                <c:ptCount val="7"/>
                <c:pt idx="0">
                  <c:v>13</c:v>
                </c:pt>
                <c:pt idx="1">
                  <c:v>20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16</c:v>
                </c:pt>
              </c:numCache>
            </c:numRef>
          </c:xVal>
          <c:yVal>
            <c:numRef>
              <c:f>'C4'!$H$5:$H$11</c:f>
              <c:numCache>
                <c:formatCode>General</c:formatCode>
                <c:ptCount val="7"/>
                <c:pt idx="0">
                  <c:v>32</c:v>
                </c:pt>
                <c:pt idx="1">
                  <c:v>45</c:v>
                </c:pt>
                <c:pt idx="2">
                  <c:v>45</c:v>
                </c:pt>
                <c:pt idx="3">
                  <c:v>24</c:v>
                </c:pt>
                <c:pt idx="4">
                  <c:v>50</c:v>
                </c:pt>
                <c:pt idx="5">
                  <c:v>41</c:v>
                </c:pt>
                <c:pt idx="6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F9-4CD6-A924-EF44E5AB6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485712"/>
        <c:axId val="481485296"/>
      </c:scatterChart>
      <c:valAx>
        <c:axId val="481485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485296"/>
        <c:crosses val="autoZero"/>
        <c:crossBetween val="midCat"/>
      </c:valAx>
      <c:valAx>
        <c:axId val="48148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48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'C5'!$G$5:$G$12</c:f>
              <c:numCache>
                <c:formatCode>General</c:formatCode>
                <c:ptCount val="8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14</c:v>
                </c:pt>
                <c:pt idx="5">
                  <c:v>19</c:v>
                </c:pt>
                <c:pt idx="6">
                  <c:v>12</c:v>
                </c:pt>
                <c:pt idx="7">
                  <c:v>18</c:v>
                </c:pt>
              </c:numCache>
            </c:numRef>
          </c:xVal>
          <c:yVal>
            <c:numRef>
              <c:f>'C5'!$H$5:$H$12</c:f>
              <c:numCache>
                <c:formatCode>General</c:formatCode>
                <c:ptCount val="8"/>
                <c:pt idx="0">
                  <c:v>26</c:v>
                </c:pt>
                <c:pt idx="1">
                  <c:v>25</c:v>
                </c:pt>
                <c:pt idx="2">
                  <c:v>31</c:v>
                </c:pt>
                <c:pt idx="3">
                  <c:v>17</c:v>
                </c:pt>
                <c:pt idx="4">
                  <c:v>14</c:v>
                </c:pt>
                <c:pt idx="5">
                  <c:v>43</c:v>
                </c:pt>
                <c:pt idx="6">
                  <c:v>12</c:v>
                </c:pt>
                <c:pt idx="7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55-48DB-BF80-E7C00AB16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483632"/>
        <c:axId val="481480720"/>
      </c:scatterChart>
      <c:valAx>
        <c:axId val="48148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480720"/>
        <c:crosses val="autoZero"/>
        <c:crossBetween val="midCat"/>
      </c:valAx>
      <c:valAx>
        <c:axId val="48148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48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2.3969816272965878E-3"/>
                  <c:y val="0.125241688538932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'C6'!$G$5:$G$12</c:f>
              <c:numCache>
                <c:formatCode>General</c:formatCode>
                <c:ptCount val="8"/>
                <c:pt idx="0">
                  <c:v>9</c:v>
                </c:pt>
                <c:pt idx="1">
                  <c:v>8</c:v>
                </c:pt>
                <c:pt idx="2">
                  <c:v>6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7</c:v>
                </c:pt>
                <c:pt idx="7">
                  <c:v>9</c:v>
                </c:pt>
              </c:numCache>
            </c:numRef>
          </c:xVal>
          <c:yVal>
            <c:numRef>
              <c:f>'C6'!$H$5:$H$12</c:f>
              <c:numCache>
                <c:formatCode>General</c:formatCode>
                <c:ptCount val="8"/>
                <c:pt idx="0">
                  <c:v>22</c:v>
                </c:pt>
                <c:pt idx="1">
                  <c:v>22</c:v>
                </c:pt>
                <c:pt idx="2">
                  <c:v>17</c:v>
                </c:pt>
                <c:pt idx="3">
                  <c:v>17</c:v>
                </c:pt>
                <c:pt idx="4">
                  <c:v>20</c:v>
                </c:pt>
                <c:pt idx="5">
                  <c:v>26</c:v>
                </c:pt>
                <c:pt idx="6">
                  <c:v>10</c:v>
                </c:pt>
                <c:pt idx="7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9B-4EA5-99DC-B7682F2C7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535584"/>
        <c:axId val="353485760"/>
      </c:scatterChart>
      <c:valAx>
        <c:axId val="39853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485760"/>
        <c:crosses val="autoZero"/>
        <c:crossBetween val="midCat"/>
      </c:valAx>
      <c:valAx>
        <c:axId val="35348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535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'C7'!$L$5:$L$12</c:f>
              <c:numCache>
                <c:formatCode>General</c:formatCode>
                <c:ptCount val="8"/>
                <c:pt idx="0">
                  <c:v>49</c:v>
                </c:pt>
                <c:pt idx="1">
                  <c:v>39</c:v>
                </c:pt>
                <c:pt idx="2">
                  <c:v>46</c:v>
                </c:pt>
                <c:pt idx="3">
                  <c:v>26</c:v>
                </c:pt>
                <c:pt idx="4">
                  <c:v>47</c:v>
                </c:pt>
                <c:pt idx="5">
                  <c:v>81</c:v>
                </c:pt>
                <c:pt idx="6">
                  <c:v>18</c:v>
                </c:pt>
                <c:pt idx="7">
                  <c:v>12</c:v>
                </c:pt>
              </c:numCache>
            </c:numRef>
          </c:xVal>
          <c:yVal>
            <c:numRef>
              <c:f>'C7'!$M$5:$M$12</c:f>
              <c:numCache>
                <c:formatCode>General</c:formatCode>
                <c:ptCount val="8"/>
                <c:pt idx="0">
                  <c:v>270</c:v>
                </c:pt>
                <c:pt idx="1">
                  <c:v>223</c:v>
                </c:pt>
                <c:pt idx="2">
                  <c:v>204</c:v>
                </c:pt>
                <c:pt idx="3">
                  <c:v>85</c:v>
                </c:pt>
                <c:pt idx="4">
                  <c:v>121</c:v>
                </c:pt>
                <c:pt idx="5">
                  <c:v>335</c:v>
                </c:pt>
                <c:pt idx="6">
                  <c:v>138</c:v>
                </c:pt>
                <c:pt idx="7">
                  <c:v>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5D-4310-A328-86D1A444F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41248"/>
        <c:axId val="390044992"/>
      </c:scatterChart>
      <c:valAx>
        <c:axId val="39004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044992"/>
        <c:crosses val="autoZero"/>
        <c:crossBetween val="midCat"/>
      </c:valAx>
      <c:valAx>
        <c:axId val="39004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04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'C7'!$G$5:$G$13</c:f>
              <c:numCache>
                <c:formatCode>General</c:formatCode>
                <c:ptCount val="9"/>
                <c:pt idx="0">
                  <c:v>21</c:v>
                </c:pt>
                <c:pt idx="1">
                  <c:v>17</c:v>
                </c:pt>
                <c:pt idx="2">
                  <c:v>19</c:v>
                </c:pt>
                <c:pt idx="3">
                  <c:v>21</c:v>
                </c:pt>
                <c:pt idx="4">
                  <c:v>19</c:v>
                </c:pt>
                <c:pt idx="5">
                  <c:v>20</c:v>
                </c:pt>
                <c:pt idx="6">
                  <c:v>14</c:v>
                </c:pt>
                <c:pt idx="7">
                  <c:v>13</c:v>
                </c:pt>
                <c:pt idx="8">
                  <c:v>21</c:v>
                </c:pt>
              </c:numCache>
            </c:numRef>
          </c:xVal>
          <c:yVal>
            <c:numRef>
              <c:f>'C7'!$H$5:$H$13</c:f>
              <c:numCache>
                <c:formatCode>General</c:formatCode>
                <c:ptCount val="9"/>
                <c:pt idx="0">
                  <c:v>52</c:v>
                </c:pt>
                <c:pt idx="1">
                  <c:v>42</c:v>
                </c:pt>
                <c:pt idx="2">
                  <c:v>57</c:v>
                </c:pt>
                <c:pt idx="3">
                  <c:v>28</c:v>
                </c:pt>
                <c:pt idx="4">
                  <c:v>22</c:v>
                </c:pt>
                <c:pt idx="5">
                  <c:v>42</c:v>
                </c:pt>
                <c:pt idx="6">
                  <c:v>19</c:v>
                </c:pt>
                <c:pt idx="7">
                  <c:v>20</c:v>
                </c:pt>
                <c:pt idx="8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A1-4629-AEE1-6EC10CA3C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507648"/>
        <c:axId val="484510976"/>
      </c:scatterChart>
      <c:valAx>
        <c:axId val="48450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510976"/>
        <c:crosses val="autoZero"/>
        <c:crossBetween val="midCat"/>
      </c:valAx>
      <c:valAx>
        <c:axId val="48451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50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433387</xdr:colOff>
      <xdr:row>21</xdr:row>
      <xdr:rowOff>95250</xdr:rowOff>
    </xdr:from>
    <xdr:to>
      <xdr:col>8</xdr:col>
      <xdr:colOff>100012</xdr:colOff>
      <xdr:row>35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576262</xdr:colOff>
      <xdr:row>11</xdr:row>
      <xdr:rowOff>180975</xdr:rowOff>
    </xdr:from>
    <xdr:to>
      <xdr:col>11</xdr:col>
      <xdr:colOff>271462</xdr:colOff>
      <xdr:row>26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423862</xdr:colOff>
      <xdr:row>22</xdr:row>
      <xdr:rowOff>180975</xdr:rowOff>
    </xdr:from>
    <xdr:to>
      <xdr:col>9</xdr:col>
      <xdr:colOff>119062</xdr:colOff>
      <xdr:row>37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223837</xdr:colOff>
      <xdr:row>20</xdr:row>
      <xdr:rowOff>76200</xdr:rowOff>
    </xdr:from>
    <xdr:to>
      <xdr:col>10</xdr:col>
      <xdr:colOff>528637</xdr:colOff>
      <xdr:row>34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309562</xdr:colOff>
      <xdr:row>22</xdr:row>
      <xdr:rowOff>28575</xdr:rowOff>
    </xdr:from>
    <xdr:to>
      <xdr:col>11</xdr:col>
      <xdr:colOff>4762</xdr:colOff>
      <xdr:row>36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195262</xdr:colOff>
      <xdr:row>24</xdr:row>
      <xdr:rowOff>95250</xdr:rowOff>
    </xdr:from>
    <xdr:to>
      <xdr:col>13</xdr:col>
      <xdr:colOff>500062</xdr:colOff>
      <xdr:row>38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576262</xdr:colOff>
      <xdr:row>11</xdr:row>
      <xdr:rowOff>190500</xdr:rowOff>
    </xdr:from>
    <xdr:to>
      <xdr:col>11</xdr:col>
      <xdr:colOff>271462</xdr:colOff>
      <xdr:row>26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576262</xdr:colOff>
      <xdr:row>11</xdr:row>
      <xdr:rowOff>190500</xdr:rowOff>
    </xdr:from>
    <xdr:to>
      <xdr:col>11</xdr:col>
      <xdr:colOff>271462</xdr:colOff>
      <xdr:row>26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P26"/>
  <sheetViews>
    <sheetView tabSelected="1" zoomScaleNormal="100" workbookViewId="0">
      <selection activeCell="M18" sqref="M18"/>
    </sheetView>
  </sheetViews>
  <sheetFormatPr defaultRowHeight="15" x14ac:dyDescent="0.25"/>
  <cols>
    <col min="2" max="2" width="24" bestFit="1" customWidth="1"/>
    <col min="3" max="3" width="5.5703125" bestFit="1" customWidth="1"/>
    <col min="4" max="4" width="4.7109375" bestFit="1" customWidth="1"/>
    <col min="5" max="5" width="4.7109375" customWidth="1"/>
    <col min="6" max="6" width="8" bestFit="1" customWidth="1"/>
    <col min="7" max="7" width="4.42578125" bestFit="1" customWidth="1"/>
    <col min="8" max="9" width="4.85546875" customWidth="1"/>
    <col min="10" max="10" width="8" bestFit="1" customWidth="1"/>
    <col min="11" max="11" width="4.42578125" bestFit="1" customWidth="1"/>
    <col min="12" max="12" width="4.7109375" bestFit="1" customWidth="1"/>
    <col min="13" max="13" width="4.7109375" customWidth="1"/>
    <col min="14" max="14" width="8" bestFit="1" customWidth="1"/>
    <col min="15" max="15" width="4.42578125" bestFit="1" customWidth="1"/>
    <col min="16" max="16" width="4.7109375" bestFit="1" customWidth="1"/>
    <col min="17" max="17" width="4.7109375" customWidth="1"/>
    <col min="18" max="18" width="8.7109375" bestFit="1" customWidth="1"/>
    <col min="19" max="19" width="4.42578125" bestFit="1" customWidth="1"/>
    <col min="20" max="20" width="5.42578125" bestFit="1" customWidth="1"/>
    <col min="21" max="21" width="5.42578125" customWidth="1"/>
    <col min="22" max="22" width="8" bestFit="1" customWidth="1"/>
    <col min="23" max="23" width="4.42578125" bestFit="1" customWidth="1"/>
    <col min="24" max="24" width="4.7109375" bestFit="1" customWidth="1"/>
    <col min="25" max="25" width="4.7109375" customWidth="1"/>
    <col min="26" max="26" width="8" bestFit="1" customWidth="1"/>
    <col min="27" max="27" width="4.5703125" bestFit="1" customWidth="1"/>
    <col min="28" max="28" width="4.7109375" bestFit="1" customWidth="1"/>
    <col min="29" max="29" width="4.7109375" customWidth="1"/>
    <col min="30" max="30" width="8" bestFit="1" customWidth="1"/>
    <col min="31" max="31" width="4.5703125" bestFit="1" customWidth="1"/>
    <col min="32" max="32" width="4.7109375" bestFit="1" customWidth="1"/>
    <col min="33" max="33" width="4.7109375" customWidth="1"/>
    <col min="34" max="34" width="8" bestFit="1" customWidth="1"/>
    <col min="35" max="35" width="4.5703125" bestFit="1" customWidth="1"/>
    <col min="36" max="36" width="4.7109375" bestFit="1" customWidth="1"/>
    <col min="37" max="37" width="4.7109375" customWidth="1"/>
    <col min="38" max="38" width="8" bestFit="1" customWidth="1"/>
    <col min="39" max="39" width="4.5703125" bestFit="1" customWidth="1"/>
    <col min="40" max="40" width="5.5703125" bestFit="1" customWidth="1"/>
    <col min="41" max="41" width="5.5703125" customWidth="1"/>
    <col min="42" max="42" width="8" bestFit="1" customWidth="1"/>
  </cols>
  <sheetData>
    <row r="1" spans="2:42" ht="15.75" thickBot="1" x14ac:dyDescent="0.3"/>
    <row r="2" spans="2:42" ht="15.75" thickBot="1" x14ac:dyDescent="0.3">
      <c r="B2" s="113" t="s">
        <v>38</v>
      </c>
      <c r="C2" s="146" t="s">
        <v>39</v>
      </c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7" t="s">
        <v>40</v>
      </c>
      <c r="T2" s="148"/>
      <c r="U2" s="127"/>
    </row>
    <row r="3" spans="2:42" ht="15.75" thickTop="1" x14ac:dyDescent="0.25">
      <c r="B3" s="111" t="s">
        <v>0</v>
      </c>
      <c r="C3" s="149" t="s">
        <v>51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33">
        <v>1</v>
      </c>
      <c r="T3" s="134"/>
      <c r="U3" s="128"/>
    </row>
    <row r="4" spans="2:42" x14ac:dyDescent="0.25">
      <c r="B4" s="111" t="s">
        <v>1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35">
        <v>1</v>
      </c>
      <c r="T4" s="136"/>
      <c r="U4" s="128"/>
    </row>
    <row r="5" spans="2:42" x14ac:dyDescent="0.25">
      <c r="B5" s="111" t="s">
        <v>2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35">
        <v>1</v>
      </c>
      <c r="T5" s="136"/>
      <c r="U5" s="128"/>
    </row>
    <row r="6" spans="2:42" x14ac:dyDescent="0.25">
      <c r="B6" s="111" t="s">
        <v>3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35">
        <v>1</v>
      </c>
      <c r="T6" s="136"/>
      <c r="U6" s="128"/>
    </row>
    <row r="7" spans="2:42" x14ac:dyDescent="0.25">
      <c r="B7" s="111" t="s">
        <v>4</v>
      </c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35">
        <v>1</v>
      </c>
      <c r="T7" s="136"/>
      <c r="U7" s="128"/>
    </row>
    <row r="8" spans="2:42" x14ac:dyDescent="0.25">
      <c r="B8" s="111" t="s">
        <v>5</v>
      </c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35">
        <v>0.73</v>
      </c>
      <c r="T8" s="136"/>
      <c r="U8" s="128"/>
    </row>
    <row r="9" spans="2:42" ht="15.75" thickBot="1" x14ac:dyDescent="0.3">
      <c r="B9" s="112" t="s">
        <v>6</v>
      </c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37">
        <v>1.21</v>
      </c>
      <c r="T9" s="138"/>
      <c r="U9" s="128"/>
    </row>
    <row r="10" spans="2:42" ht="15.75" thickBot="1" x14ac:dyDescent="0.3"/>
    <row r="11" spans="2:42" ht="15.75" customHeight="1" thickBot="1" x14ac:dyDescent="0.3">
      <c r="B11" s="131" t="s">
        <v>55</v>
      </c>
      <c r="C11" s="143" t="s">
        <v>9</v>
      </c>
      <c r="D11" s="144"/>
      <c r="E11" s="144"/>
      <c r="F11" s="144"/>
      <c r="G11" s="144"/>
      <c r="H11" s="144"/>
      <c r="I11" s="144"/>
      <c r="J11" s="145"/>
      <c r="K11" s="143" t="s">
        <v>25</v>
      </c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5"/>
      <c r="AA11" s="144" t="s">
        <v>26</v>
      </c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5"/>
    </row>
    <row r="12" spans="2:42" ht="15.75" thickBot="1" x14ac:dyDescent="0.3">
      <c r="B12" s="132"/>
      <c r="C12" s="152" t="s">
        <v>9</v>
      </c>
      <c r="D12" s="140"/>
      <c r="E12" s="140"/>
      <c r="F12" s="140"/>
      <c r="G12" s="139" t="s">
        <v>27</v>
      </c>
      <c r="H12" s="140"/>
      <c r="I12" s="140"/>
      <c r="J12" s="142"/>
      <c r="K12" s="152" t="s">
        <v>28</v>
      </c>
      <c r="L12" s="140"/>
      <c r="M12" s="140"/>
      <c r="N12" s="140"/>
      <c r="O12" s="139" t="s">
        <v>29</v>
      </c>
      <c r="P12" s="140"/>
      <c r="Q12" s="140"/>
      <c r="R12" s="140"/>
      <c r="S12" s="139" t="s">
        <v>30</v>
      </c>
      <c r="T12" s="140"/>
      <c r="U12" s="140"/>
      <c r="V12" s="140"/>
      <c r="W12" s="139" t="s">
        <v>31</v>
      </c>
      <c r="X12" s="140"/>
      <c r="Y12" s="140"/>
      <c r="Z12" s="142"/>
      <c r="AA12" s="140" t="s">
        <v>32</v>
      </c>
      <c r="AB12" s="140"/>
      <c r="AC12" s="140"/>
      <c r="AD12" s="140"/>
      <c r="AE12" s="139" t="s">
        <v>33</v>
      </c>
      <c r="AF12" s="140"/>
      <c r="AG12" s="140"/>
      <c r="AH12" s="140"/>
      <c r="AI12" s="139" t="s">
        <v>16</v>
      </c>
      <c r="AJ12" s="140"/>
      <c r="AK12" s="140"/>
      <c r="AL12" s="141"/>
      <c r="AM12" s="139" t="s">
        <v>24</v>
      </c>
      <c r="AN12" s="140"/>
      <c r="AO12" s="140"/>
      <c r="AP12" s="142"/>
    </row>
    <row r="13" spans="2:42" ht="15.75" thickBot="1" x14ac:dyDescent="0.3">
      <c r="B13" s="104" t="s">
        <v>34</v>
      </c>
      <c r="C13" s="104" t="s">
        <v>35</v>
      </c>
      <c r="D13" s="105" t="s">
        <v>36</v>
      </c>
      <c r="E13" s="105" t="s">
        <v>62</v>
      </c>
      <c r="F13" s="105" t="s">
        <v>37</v>
      </c>
      <c r="G13" s="106" t="s">
        <v>35</v>
      </c>
      <c r="H13" s="105" t="s">
        <v>36</v>
      </c>
      <c r="I13" s="105"/>
      <c r="J13" s="107" t="s">
        <v>37</v>
      </c>
      <c r="K13" s="104" t="s">
        <v>35</v>
      </c>
      <c r="L13" s="105" t="s">
        <v>36</v>
      </c>
      <c r="M13" s="105"/>
      <c r="N13" s="105" t="s">
        <v>37</v>
      </c>
      <c r="O13" s="106" t="s">
        <v>35</v>
      </c>
      <c r="P13" s="105" t="s">
        <v>36</v>
      </c>
      <c r="Q13" s="105"/>
      <c r="R13" s="105" t="s">
        <v>37</v>
      </c>
      <c r="S13" s="106" t="s">
        <v>35</v>
      </c>
      <c r="T13" s="105" t="s">
        <v>36</v>
      </c>
      <c r="U13" s="105"/>
      <c r="V13" s="105" t="s">
        <v>37</v>
      </c>
      <c r="W13" s="106" t="s">
        <v>35</v>
      </c>
      <c r="X13" s="105" t="s">
        <v>36</v>
      </c>
      <c r="Y13" s="105"/>
      <c r="Z13" s="107" t="s">
        <v>37</v>
      </c>
      <c r="AA13" s="105" t="s">
        <v>35</v>
      </c>
      <c r="AB13" s="105" t="s">
        <v>36</v>
      </c>
      <c r="AC13" s="105"/>
      <c r="AD13" s="105" t="s">
        <v>37</v>
      </c>
      <c r="AE13" s="106" t="s">
        <v>35</v>
      </c>
      <c r="AF13" s="105" t="s">
        <v>36</v>
      </c>
      <c r="AG13" s="105"/>
      <c r="AH13" s="105" t="s">
        <v>37</v>
      </c>
      <c r="AI13" s="106" t="s">
        <v>35</v>
      </c>
      <c r="AJ13" s="105" t="s">
        <v>36</v>
      </c>
      <c r="AK13" s="105"/>
      <c r="AL13" s="108" t="s">
        <v>37</v>
      </c>
      <c r="AM13" s="106" t="s">
        <v>35</v>
      </c>
      <c r="AN13" s="105" t="s">
        <v>36</v>
      </c>
      <c r="AO13" s="105"/>
      <c r="AP13" s="107" t="s">
        <v>37</v>
      </c>
    </row>
    <row r="14" spans="2:42" ht="15.75" thickTop="1" x14ac:dyDescent="0.25">
      <c r="B14" s="109" t="s">
        <v>0</v>
      </c>
      <c r="C14" s="42">
        <f>MIN('C1'!G5:G10)</f>
        <v>15</v>
      </c>
      <c r="D14" s="19">
        <f>MAX('C1'!G5:G10)</f>
        <v>21</v>
      </c>
      <c r="E14" s="19">
        <f>MEDIAN('C1'!G5:G10)</f>
        <v>17</v>
      </c>
      <c r="F14" s="92">
        <f>AVERAGE('C1'!G5:G10)</f>
        <v>17.5</v>
      </c>
      <c r="G14" s="20">
        <f>MIN('C1'!H5:H10)</f>
        <v>19</v>
      </c>
      <c r="H14" s="19">
        <f>MAX('C1'!H5:H10)</f>
        <v>42</v>
      </c>
      <c r="I14" s="93">
        <f>'C1'!H13</f>
        <v>29.5</v>
      </c>
      <c r="J14" s="98">
        <f>AVERAGE('C1'!H5:H10)</f>
        <v>29.166666666666668</v>
      </c>
      <c r="K14" s="42">
        <f>MIN('C1'!I5:I10)</f>
        <v>0</v>
      </c>
      <c r="L14" s="19">
        <f>MAX('C1'!I5:I10)</f>
        <v>3</v>
      </c>
      <c r="M14" s="19"/>
      <c r="N14" s="92">
        <f>AVERAGE('C1'!I5:I10)</f>
        <v>1</v>
      </c>
      <c r="O14" s="20">
        <f>MIN('C1'!J5:J10)</f>
        <v>12</v>
      </c>
      <c r="P14" s="19">
        <f>MAX('C1'!J5:J10)</f>
        <v>21</v>
      </c>
      <c r="Q14" s="19"/>
      <c r="R14" s="92">
        <f>AVERAGE('C1'!J5:J10)</f>
        <v>17.666666666666668</v>
      </c>
      <c r="S14" s="20">
        <f>MIN('C1'!K5:K10)</f>
        <v>6</v>
      </c>
      <c r="T14" s="19">
        <f>MAX('C1'!K5:K10)</f>
        <v>14</v>
      </c>
      <c r="U14" s="19"/>
      <c r="V14" s="92">
        <f>AVERAGE('C1'!K5:K10)</f>
        <v>8.5</v>
      </c>
      <c r="W14" s="20">
        <f>MIN('C1'!M5:M10)</f>
        <v>137</v>
      </c>
      <c r="X14" s="19">
        <f>MAX('C1'!M5:M10)</f>
        <v>230</v>
      </c>
      <c r="Y14" s="19"/>
      <c r="Z14" s="98">
        <f>AVERAGE('C1'!M5:M10)</f>
        <v>177.75</v>
      </c>
      <c r="AA14" s="93">
        <f>MIN('C1'!P5:P10)</f>
        <v>1.1780972450961724</v>
      </c>
      <c r="AB14" s="93">
        <f>MAX('C1'!P5:P10)</f>
        <v>2.174948760177549</v>
      </c>
      <c r="AC14" s="93"/>
      <c r="AD14" s="93">
        <f>AVERAGE('C1'!P5:P10)</f>
        <v>1.5384070435607711</v>
      </c>
      <c r="AE14" s="100">
        <f>MIN('C1'!S5:S10)</f>
        <v>0.97169811320754718</v>
      </c>
      <c r="AF14" s="93">
        <f>MAX('C1'!S5:S10)</f>
        <v>1</v>
      </c>
      <c r="AG14" s="93"/>
      <c r="AH14" s="93">
        <f>AVERAGE('C1'!S5:S10)</f>
        <v>0.98932423750591747</v>
      </c>
      <c r="AI14" s="100">
        <f>MIN('C1'!Q5:Q10)</f>
        <v>3.75</v>
      </c>
      <c r="AJ14" s="93">
        <f>MAX('C1'!Q5:Q10)</f>
        <v>5.25</v>
      </c>
      <c r="AK14" s="93"/>
      <c r="AL14" s="102">
        <f>AVERAGE('C1'!Q5:Q10)</f>
        <v>4.375</v>
      </c>
      <c r="AM14" s="100">
        <f>MIN('C1'!R5:R10)</f>
        <v>2.0690142601946393</v>
      </c>
      <c r="AN14" s="93">
        <f>MAX('C1'!R5:R10)</f>
        <v>3.8197186342054881</v>
      </c>
      <c r="AO14" s="93"/>
      <c r="AP14" s="94">
        <f>AVERAGE('C1'!R5:R10)</f>
        <v>2.9708922710487129</v>
      </c>
    </row>
    <row r="15" spans="2:42" x14ac:dyDescent="0.25">
      <c r="B15" s="109" t="s">
        <v>1</v>
      </c>
      <c r="C15" s="42">
        <f>MIN('C2'!G5:G12)</f>
        <v>15</v>
      </c>
      <c r="D15" s="19">
        <f>MAX('C2'!G5:G12)</f>
        <v>23</v>
      </c>
      <c r="E15" s="19">
        <f>MEDIAN('C2'!G5:G12)</f>
        <v>22</v>
      </c>
      <c r="F15" s="92">
        <f>AVERAGE('C2'!G5:G12)</f>
        <v>20.875</v>
      </c>
      <c r="G15" s="20">
        <f>MIN('C2'!H5:H12)</f>
        <v>22</v>
      </c>
      <c r="H15" s="19">
        <f>MAX('C2'!H5:H12)</f>
        <v>50</v>
      </c>
      <c r="I15" s="93">
        <f>'C2'!H16</f>
        <v>33.5</v>
      </c>
      <c r="J15" s="98">
        <f>AVERAGE('C2'!H5:H12)</f>
        <v>34.75</v>
      </c>
      <c r="K15" s="42">
        <f>MIN('C2'!I5:I10)</f>
        <v>0</v>
      </c>
      <c r="L15" s="19">
        <f>MAX('C2'!I5:I10)</f>
        <v>19</v>
      </c>
      <c r="M15" s="19"/>
      <c r="N15" s="92">
        <f>AVERAGE('C2'!I5:I10)</f>
        <v>11.666666666666666</v>
      </c>
      <c r="O15" s="20">
        <f>MIN('C2'!J5:J10)</f>
        <v>20</v>
      </c>
      <c r="P15" s="19">
        <f>MAX('C2'!J5:J10)</f>
        <v>54</v>
      </c>
      <c r="Q15" s="19"/>
      <c r="R15" s="92">
        <f>AVERAGE('C2'!J5:J10)</f>
        <v>38.166666666666664</v>
      </c>
      <c r="S15" s="20">
        <f>MIN('C2'!K5:K10)</f>
        <v>0</v>
      </c>
      <c r="T15" s="19">
        <f>MAX('C2'!K5:K10)</f>
        <v>7</v>
      </c>
      <c r="U15" s="19"/>
      <c r="V15" s="92">
        <f>AVERAGE('C2'!K5:K10)</f>
        <v>2.1666666666666665</v>
      </c>
      <c r="W15" s="20">
        <f>MIN('C2'!M5:M10)</f>
        <v>168</v>
      </c>
      <c r="X15" s="19">
        <f>MAX('C2'!M5:M10)</f>
        <v>358</v>
      </c>
      <c r="Y15" s="19"/>
      <c r="Z15" s="98">
        <f>AVERAGE('C2'!M5:M10)</f>
        <v>241.4</v>
      </c>
      <c r="AA15" s="93">
        <f>MIN('C2'!P5:P10)</f>
        <v>0.50083361144185101</v>
      </c>
      <c r="AB15" s="93">
        <f>MAX('C2'!P5:P10)</f>
        <v>1.1780972450961724</v>
      </c>
      <c r="AC15" s="93"/>
      <c r="AD15" s="93">
        <f>AVERAGE('C2'!P5:P10)</f>
        <v>0.73996066440237884</v>
      </c>
      <c r="AE15" s="100">
        <f>MIN('C2'!S5:S10)</f>
        <v>0.88</v>
      </c>
      <c r="AF15" s="93">
        <f>MAX('C2'!S5:S10)</f>
        <v>1</v>
      </c>
      <c r="AG15" s="93"/>
      <c r="AH15" s="93">
        <f>AVERAGE('C2'!S5:S10)</f>
        <v>0.91899954564288378</v>
      </c>
      <c r="AI15" s="100">
        <f>MIN('C2'!Q5:Q10)</f>
        <v>3.75</v>
      </c>
      <c r="AJ15" s="93">
        <f>MAX('C2'!Q5:Q10)</f>
        <v>5.75</v>
      </c>
      <c r="AK15" s="93"/>
      <c r="AL15" s="102">
        <f>AVERAGE('C2'!Q5:Q10)</f>
        <v>5.208333333333333</v>
      </c>
      <c r="AM15" s="100">
        <f>MIN('C2'!R5:R10)</f>
        <v>3.183098861837907</v>
      </c>
      <c r="AN15" s="93">
        <f>MAX('C2'!R5:R10)</f>
        <v>10.981691073340778</v>
      </c>
      <c r="AO15" s="93"/>
      <c r="AP15" s="94">
        <f>AVERAGE('C2'!R5:R10)</f>
        <v>7.9312213307461166</v>
      </c>
    </row>
    <row r="16" spans="2:42" x14ac:dyDescent="0.25">
      <c r="B16" s="109" t="s">
        <v>2</v>
      </c>
      <c r="C16" s="42">
        <f>MIN('C3'!G5:G14)</f>
        <v>19</v>
      </c>
      <c r="D16" s="19">
        <f>MAX('C3'!G5:G14)</f>
        <v>30</v>
      </c>
      <c r="E16" s="93">
        <f>'C3'!G17</f>
        <v>22</v>
      </c>
      <c r="F16" s="92">
        <f>AVERAGE('C3'!G5:G14)</f>
        <v>22.777777777777779</v>
      </c>
      <c r="G16" s="20">
        <f>MIN('C3'!H5:H14)</f>
        <v>20</v>
      </c>
      <c r="H16" s="19">
        <f>MAX('C3'!H5:H14)</f>
        <v>58</v>
      </c>
      <c r="I16" s="93">
        <f>'C3'!H17</f>
        <v>38.5</v>
      </c>
      <c r="J16" s="98">
        <f>AVERAGE('C3'!H5:H14)</f>
        <v>38.5</v>
      </c>
      <c r="K16" s="42">
        <f>MIN('C3'!I5:I9)</f>
        <v>3</v>
      </c>
      <c r="L16" s="19">
        <f>MAX('C3'!I5:I9)</f>
        <v>15</v>
      </c>
      <c r="M16" s="19"/>
      <c r="N16" s="92">
        <f>AVERAGE('C3'!I5:I9)</f>
        <v>9.1999999999999993</v>
      </c>
      <c r="O16" s="20">
        <f>MIN('C3'!J5:J9)</f>
        <v>21</v>
      </c>
      <c r="P16" s="19">
        <f>MAX('C3'!J5:J9)</f>
        <v>33</v>
      </c>
      <c r="Q16" s="19"/>
      <c r="R16" s="92">
        <f>AVERAGE('C3'!J5:J9)</f>
        <v>28.4</v>
      </c>
      <c r="S16" s="20">
        <f>MIN('C3'!K5:K9)</f>
        <v>6</v>
      </c>
      <c r="T16" s="19">
        <f>MAX('C3'!K5:K9)</f>
        <v>16</v>
      </c>
      <c r="U16" s="19"/>
      <c r="V16" s="92">
        <f>AVERAGE('C3'!K5:K9)</f>
        <v>9.6</v>
      </c>
      <c r="W16" s="20">
        <f>MIN('C3'!M5:M9)</f>
        <v>162</v>
      </c>
      <c r="X16" s="19">
        <f>MAX('C3'!M5:M9)</f>
        <v>282</v>
      </c>
      <c r="Y16" s="19"/>
      <c r="Z16" s="98">
        <f>AVERAGE('C3'!M5:M9)</f>
        <v>244.4</v>
      </c>
      <c r="AA16" s="93">
        <f>MIN('C3'!P5:P9)</f>
        <v>0.82466807156732069</v>
      </c>
      <c r="AB16" s="93">
        <f>MAX('C3'!P5:P9)</f>
        <v>1.2435470920459597</v>
      </c>
      <c r="AC16" s="93"/>
      <c r="AD16" s="93">
        <f>AVERAGE('C3'!P5:P9)</f>
        <v>0.98239212654198105</v>
      </c>
      <c r="AE16" s="100">
        <f>MIN('C3'!S5:S9)</f>
        <v>0.90344827586206899</v>
      </c>
      <c r="AF16" s="93">
        <f>MAX('C3'!S5:S9)</f>
        <v>0.96666666666666667</v>
      </c>
      <c r="AG16" s="93"/>
      <c r="AH16" s="93">
        <f>AVERAGE('C3'!S5:S9)</f>
        <v>0.93432201952070826</v>
      </c>
      <c r="AI16" s="100">
        <f>MIN('C3'!Q5:Q9)</f>
        <v>4.75</v>
      </c>
      <c r="AJ16" s="93">
        <f>MAX('C3'!Q5:Q9)</f>
        <v>7.5</v>
      </c>
      <c r="AK16" s="93"/>
      <c r="AL16" s="102">
        <f>AVERAGE('C3'!Q5:Q9)</f>
        <v>5.75</v>
      </c>
      <c r="AM16" s="100">
        <f>MIN('C3'!R5:R9)</f>
        <v>3.8197186342054881</v>
      </c>
      <c r="AN16" s="93">
        <f>MAX('C3'!R5:R9)</f>
        <v>7.4802823253190809</v>
      </c>
      <c r="AO16" s="93"/>
      <c r="AP16" s="94">
        <f>AVERAGE('C3'!R5:R9)</f>
        <v>5.9842258602552656</v>
      </c>
    </row>
    <row r="17" spans="2:42" x14ac:dyDescent="0.25">
      <c r="B17" s="109" t="s">
        <v>3</v>
      </c>
      <c r="C17" s="42">
        <f>MIN('C4'!G5:G11)</f>
        <v>12</v>
      </c>
      <c r="D17" s="19">
        <f>MAX('C4'!G5:G11)</f>
        <v>20</v>
      </c>
      <c r="E17" s="93">
        <f>'C4'!G14</f>
        <v>15</v>
      </c>
      <c r="F17" s="92">
        <f>AVERAGE('C4'!G5:G11)</f>
        <v>15</v>
      </c>
      <c r="G17" s="20">
        <f>MIN('C4'!H5:H11)</f>
        <v>22</v>
      </c>
      <c r="H17" s="19">
        <f>MAX('C4'!H5:H11)</f>
        <v>50</v>
      </c>
      <c r="I17" s="93">
        <f>'C4'!H14</f>
        <v>41</v>
      </c>
      <c r="J17" s="98">
        <f>AVERAGE('C4'!H5:H11)</f>
        <v>37</v>
      </c>
      <c r="K17" s="42">
        <f>MIN('C4'!I5:I9)</f>
        <v>5</v>
      </c>
      <c r="L17" s="19">
        <f>MAX('C4'!I5:I9)</f>
        <v>19</v>
      </c>
      <c r="M17" s="19"/>
      <c r="N17" s="92">
        <f>AVERAGE('C4'!I5:I9)</f>
        <v>13</v>
      </c>
      <c r="O17" s="20">
        <f>MIN('C4'!J5:J9)</f>
        <v>20</v>
      </c>
      <c r="P17" s="19">
        <f>MAX('C4'!J5:J9)</f>
        <v>34</v>
      </c>
      <c r="Q17" s="19"/>
      <c r="R17" s="92">
        <f>AVERAGE('C4'!J5:J9)</f>
        <v>28.8</v>
      </c>
      <c r="S17" s="20">
        <f>MIN('C4'!K5:K9)</f>
        <v>0</v>
      </c>
      <c r="T17" s="19">
        <f>MAX('C4'!K5:K9)</f>
        <v>4</v>
      </c>
      <c r="U17" s="19"/>
      <c r="V17" s="92">
        <f>AVERAGE('C4'!K5:K9)</f>
        <v>0.8</v>
      </c>
      <c r="W17" s="20">
        <f>MIN('C4'!M5:M9)</f>
        <v>147</v>
      </c>
      <c r="X17" s="19">
        <f>MAX('C4'!M5:M9)</f>
        <v>215</v>
      </c>
      <c r="Y17" s="19"/>
      <c r="Z17" s="98">
        <f>AVERAGE('C4'!M5:M9)</f>
        <v>177.6</v>
      </c>
      <c r="AA17" s="93">
        <f>MIN('C4'!P5:P9)</f>
        <v>0.45311432503698934</v>
      </c>
      <c r="AB17" s="93">
        <f>MAX('C4'!P5:P9)</f>
        <v>0.68295492469343322</v>
      </c>
      <c r="AC17" s="93"/>
      <c r="AD17" s="93">
        <f>AVERAGE('C4'!P5:P9)</f>
        <v>0.5629517315115391</v>
      </c>
      <c r="AE17" s="100">
        <f>MIN('C4'!S5:S9)</f>
        <v>0.82191780821917804</v>
      </c>
      <c r="AF17" s="93">
        <f>MAX('C4'!S5:S9)</f>
        <v>0.9438202247191011</v>
      </c>
      <c r="AG17" s="93"/>
      <c r="AH17" s="93">
        <f>AVERAGE('C4'!S5:S9)</f>
        <v>0.87266880488843612</v>
      </c>
      <c r="AI17" s="100">
        <f>MIN('C4'!Q5:Q9)</f>
        <v>3</v>
      </c>
      <c r="AJ17" s="93">
        <f>MAX('C4'!Q5:Q9)</f>
        <v>5</v>
      </c>
      <c r="AK17" s="93"/>
      <c r="AL17" s="102">
        <f>AVERAGE('C4'!Q5:Q9)</f>
        <v>3.7</v>
      </c>
      <c r="AM17" s="100">
        <f>MIN('C4'!R5:R9)</f>
        <v>5.2521131220325463</v>
      </c>
      <c r="AN17" s="93">
        <f>MAX('C4'!R5:R9)</f>
        <v>8.2760570407785572</v>
      </c>
      <c r="AO17" s="93"/>
      <c r="AP17" s="94">
        <f>AVERAGE('C4'!R5:R9)</f>
        <v>6.6526766212412252</v>
      </c>
    </row>
    <row r="18" spans="2:42" x14ac:dyDescent="0.25">
      <c r="B18" s="109" t="s">
        <v>4</v>
      </c>
      <c r="C18" s="42">
        <f>MIN('C5'!G5:G12)</f>
        <v>12</v>
      </c>
      <c r="D18" s="19">
        <f>MAX('C5'!G5:G12)</f>
        <v>19</v>
      </c>
      <c r="E18" s="93">
        <f>'C5'!G15</f>
        <v>15.5</v>
      </c>
      <c r="F18" s="92">
        <f>AVERAGE('C5'!G5:G12)</f>
        <v>15.5</v>
      </c>
      <c r="G18" s="20">
        <f>MIN('C5'!H5:H12)</f>
        <v>12</v>
      </c>
      <c r="H18" s="19">
        <f>MAX('C5'!H5:H12)</f>
        <v>43</v>
      </c>
      <c r="I18" s="93">
        <f>'C5'!H15</f>
        <v>21</v>
      </c>
      <c r="J18" s="98">
        <f>AVERAGE('C5'!H5:H12)</f>
        <v>22.625</v>
      </c>
      <c r="K18" s="42">
        <f>MIN('C5'!I5:I10)</f>
        <v>4</v>
      </c>
      <c r="L18" s="19">
        <f>MAX('C5'!I5:I10)</f>
        <v>8</v>
      </c>
      <c r="M18" s="19"/>
      <c r="N18" s="92">
        <f>AVERAGE('C5'!I5:I10)</f>
        <v>5.833333333333333</v>
      </c>
      <c r="O18" s="20">
        <f>MIN('C5'!J5:J10)</f>
        <v>28</v>
      </c>
      <c r="P18" s="19">
        <f>MAX('C5'!J5:J10)</f>
        <v>47</v>
      </c>
      <c r="Q18" s="19"/>
      <c r="R18" s="92">
        <f>AVERAGE('C5'!J5:J10)</f>
        <v>35.666666666666664</v>
      </c>
      <c r="S18" s="20">
        <f>MIN('C5'!K5:K10)</f>
        <v>2</v>
      </c>
      <c r="T18" s="19">
        <f>MAX('C5'!K5:K10)</f>
        <v>8</v>
      </c>
      <c r="U18" s="19"/>
      <c r="V18" s="92">
        <f>AVERAGE('C5'!K5:K10)</f>
        <v>4.166666666666667</v>
      </c>
      <c r="W18" s="20">
        <f>MIN('C5'!M5:M10)</f>
        <v>127</v>
      </c>
      <c r="X18" s="19">
        <f>MAX('C5'!M5:M10)</f>
        <v>245</v>
      </c>
      <c r="Y18" s="19"/>
      <c r="Z18" s="98">
        <f>AVERAGE('C5'!M5:M10)</f>
        <v>170.83333333333334</v>
      </c>
      <c r="AA18" s="93">
        <f>MIN('C5'!P5:P10)</f>
        <v>0.45814892864851153</v>
      </c>
      <c r="AB18" s="93">
        <f>MAX('C5'!P5:P10)</f>
        <v>0.76159821905207103</v>
      </c>
      <c r="AC18" s="93"/>
      <c r="AD18" s="93">
        <f>AVERAGE('C5'!P5:P10)</f>
        <v>0.61336557850497819</v>
      </c>
      <c r="AE18" s="100">
        <f>MIN('C5'!S5:S10)</f>
        <v>0.94117647058823528</v>
      </c>
      <c r="AF18" s="93">
        <f>MAX('C5'!S5:S10)</f>
        <v>0.96753246753246758</v>
      </c>
      <c r="AG18" s="93"/>
      <c r="AH18" s="93">
        <f>AVERAGE('C5'!S5:S10)</f>
        <v>0.95507403147819792</v>
      </c>
      <c r="AI18" s="100">
        <f>MIN('C5'!Q5:Q10)</f>
        <v>3.5</v>
      </c>
      <c r="AJ18" s="93">
        <f>MAX('C5'!Q5:Q10)</f>
        <v>4.75</v>
      </c>
      <c r="AK18" s="93"/>
      <c r="AL18" s="102">
        <f>AVERAGE('C5'!Q5:Q10)</f>
        <v>3.9166666666666665</v>
      </c>
      <c r="AM18" s="100">
        <f>MIN('C5'!R5:R10)</f>
        <v>5.0929581789406511</v>
      </c>
      <c r="AN18" s="93">
        <f>MAX('C5'!R5:R10)</f>
        <v>8.2760570407785572</v>
      </c>
      <c r="AO18" s="93"/>
      <c r="AP18" s="94">
        <f>AVERAGE('C5'!R5:R10)</f>
        <v>6.6049301383136561</v>
      </c>
    </row>
    <row r="19" spans="2:42" x14ac:dyDescent="0.25">
      <c r="B19" s="109" t="s">
        <v>5</v>
      </c>
      <c r="C19" s="42">
        <f>MIN('C6'!G5:G15)</f>
        <v>6</v>
      </c>
      <c r="D19" s="19">
        <f>MAX('C6'!G5:G15)</f>
        <v>9</v>
      </c>
      <c r="E19" s="93">
        <f>'C6'!G18</f>
        <v>8</v>
      </c>
      <c r="F19" s="92">
        <f>AVERAGE('C6'!G5:G15)</f>
        <v>8</v>
      </c>
      <c r="G19" s="20">
        <f>MIN('C6'!H5:H15)</f>
        <v>10</v>
      </c>
      <c r="H19" s="19">
        <f>MAX('C6'!H5:H15)</f>
        <v>26</v>
      </c>
      <c r="I19" s="93">
        <f>'C6'!H18</f>
        <v>19</v>
      </c>
      <c r="J19" s="98">
        <f>AVERAGE('C6'!H5:H15)</f>
        <v>19</v>
      </c>
      <c r="K19" s="42">
        <f>MIN('C6'!I5:I12)</f>
        <v>0</v>
      </c>
      <c r="L19" s="19">
        <f>MAX('C6'!I5:I12)</f>
        <v>8</v>
      </c>
      <c r="M19" s="19"/>
      <c r="N19" s="92">
        <f>AVERAGE('C6'!I5:I12)</f>
        <v>1.125</v>
      </c>
      <c r="O19" s="20">
        <f>MIN('C6'!J5:J12)</f>
        <v>7</v>
      </c>
      <c r="P19" s="19">
        <f>MAX('C6'!J5:J12)</f>
        <v>27</v>
      </c>
      <c r="Q19" s="19"/>
      <c r="R19" s="92">
        <f>AVERAGE('C6'!J5:J12)</f>
        <v>12</v>
      </c>
      <c r="S19" s="20">
        <f>MIN('C6'!K5:K12)</f>
        <v>1</v>
      </c>
      <c r="T19" s="19">
        <f>MAX('C6'!K5:K12)</f>
        <v>1</v>
      </c>
      <c r="U19" s="19"/>
      <c r="V19" s="92">
        <f>AVERAGE('C6'!K5:K12)</f>
        <v>1</v>
      </c>
      <c r="W19" s="20">
        <f>MIN('C6'!M5:M12)</f>
        <v>32</v>
      </c>
      <c r="X19" s="19">
        <f>MAX('C6'!M5:M12)</f>
        <v>102</v>
      </c>
      <c r="Y19" s="19"/>
      <c r="Z19" s="98">
        <f>AVERAGE('C6'!M5:M12)</f>
        <v>59.5</v>
      </c>
      <c r="AA19" s="93">
        <f>MIN('C6'!P5:P12)</f>
        <v>0.26030339129744001</v>
      </c>
      <c r="AB19" s="93">
        <f>MAX('C6'!P5:P12)</f>
        <v>1.4642065760481</v>
      </c>
      <c r="AC19" s="93"/>
      <c r="AD19" s="93">
        <f>AVERAGE('C6'!P5:P12)</f>
        <v>0.9123046374682412</v>
      </c>
      <c r="AE19" s="100">
        <f>MIN('C6'!S5:S12)</f>
        <v>0.91397849462365588</v>
      </c>
      <c r="AF19" s="93">
        <f>MAX('C6'!S5:S12)</f>
        <v>1</v>
      </c>
      <c r="AG19" s="93"/>
      <c r="AH19" s="93">
        <f>AVERAGE('C6'!S5:S12)</f>
        <v>0.98701516897081409</v>
      </c>
      <c r="AI19" s="100">
        <f>MIN('C6'!Q5:Q12)</f>
        <v>2.0689655172413794</v>
      </c>
      <c r="AJ19" s="93">
        <f>MAX('C6'!Q5:Q12)</f>
        <v>3.103448275862069</v>
      </c>
      <c r="AK19" s="93"/>
      <c r="AL19" s="102">
        <f>AVERAGE('C6'!Q5:Q12)</f>
        <v>2.7586206896551722</v>
      </c>
      <c r="AM19" s="100">
        <f>MIN('C6'!R5:R12)</f>
        <v>2.1195426428409365</v>
      </c>
      <c r="AN19" s="93">
        <f>MAX('C6'!R5:R12)</f>
        <v>10.597713214204683</v>
      </c>
      <c r="AO19" s="93"/>
      <c r="AP19" s="94">
        <f>AVERAGE('C6'!R5:R12)</f>
        <v>3.9741424553267564</v>
      </c>
    </row>
    <row r="20" spans="2:42" ht="15.75" thickBot="1" x14ac:dyDescent="0.3">
      <c r="B20" s="110" t="s">
        <v>6</v>
      </c>
      <c r="C20" s="43">
        <f>MIN('C7'!G5:G14)</f>
        <v>13</v>
      </c>
      <c r="D20" s="26">
        <f>MAX('C7'!G5:G14)</f>
        <v>21</v>
      </c>
      <c r="E20" s="96">
        <f>'C7'!G17</f>
        <v>19.5</v>
      </c>
      <c r="F20" s="95">
        <f>AVERAGE('C7'!G5:G14)</f>
        <v>18.5</v>
      </c>
      <c r="G20" s="27">
        <f>MIN('C7'!H5:H14)</f>
        <v>19</v>
      </c>
      <c r="H20" s="26">
        <f>MAX('C7'!H5:H14)</f>
        <v>57</v>
      </c>
      <c r="I20" s="96">
        <f>'C7'!H17</f>
        <v>27.5</v>
      </c>
      <c r="J20" s="99">
        <f>AVERAGE('C7'!H5:H14)</f>
        <v>33.299999999999997</v>
      </c>
      <c r="K20" s="43">
        <f>MIN('C7'!I5:I12)</f>
        <v>0</v>
      </c>
      <c r="L20" s="26">
        <f>MAX('C7'!I5:I12)</f>
        <v>18</v>
      </c>
      <c r="M20" s="26"/>
      <c r="N20" s="95">
        <f>AVERAGE('C7'!I5:I12)</f>
        <v>8.5</v>
      </c>
      <c r="O20" s="27">
        <f>MIN('C7'!J5:J12)</f>
        <v>11</v>
      </c>
      <c r="P20" s="26">
        <f>MAX('C7'!J5:J12)</f>
        <v>60</v>
      </c>
      <c r="Q20" s="26"/>
      <c r="R20" s="95">
        <f>AVERAGE('C7'!J5:J12)</f>
        <v>29.5</v>
      </c>
      <c r="S20" s="27">
        <f>MIN('C7'!K5:K12)</f>
        <v>0</v>
      </c>
      <c r="T20" s="26">
        <f>MAX('C7'!K5:K12)</f>
        <v>3</v>
      </c>
      <c r="U20" s="26"/>
      <c r="V20" s="95">
        <f>AVERAGE('C7'!K5:K12)</f>
        <v>1.75</v>
      </c>
      <c r="W20" s="27">
        <f>MIN('C7'!M5:M12)</f>
        <v>85</v>
      </c>
      <c r="X20" s="26">
        <f>MAX('C7'!M5:M12)</f>
        <v>335</v>
      </c>
      <c r="Y20" s="26"/>
      <c r="Z20" s="99">
        <f>AVERAGE('C7'!M5:M12)</f>
        <v>184.875</v>
      </c>
      <c r="AA20" s="96">
        <f>MIN('C7'!P5:P12)</f>
        <v>0.48734962959533962</v>
      </c>
      <c r="AB20" s="96">
        <f>MAX('C7'!P5:P12)</f>
        <v>2.2462387473167023</v>
      </c>
      <c r="AC20" s="96"/>
      <c r="AD20" s="96">
        <f>AVERAGE('C7'!P5:P12)</f>
        <v>1.1507056298400578</v>
      </c>
      <c r="AE20" s="101">
        <f>MIN('C7'!S5:S12)</f>
        <v>0.86486486486486491</v>
      </c>
      <c r="AF20" s="96">
        <f>MAX('C7'!S5:S12)</f>
        <v>1</v>
      </c>
      <c r="AG20" s="96"/>
      <c r="AH20" s="96">
        <f>AVERAGE('C7'!S5:S12)</f>
        <v>0.92547594317087556</v>
      </c>
      <c r="AI20" s="101">
        <f>MIN('C7'!Q5:Q12)</f>
        <v>2.6859504132231407</v>
      </c>
      <c r="AJ20" s="96">
        <f>MAX('C7'!Q5:Q12)</f>
        <v>4.338842975206612</v>
      </c>
      <c r="AK20" s="96"/>
      <c r="AL20" s="103">
        <f>AVERAGE('C7'!Q5:Q12)</f>
        <v>3.71900826446281</v>
      </c>
      <c r="AM20" s="101">
        <f>MIN('C7'!R5:R12)</f>
        <v>1.195754643815893</v>
      </c>
      <c r="AN20" s="96">
        <f>MAX('C7'!R5:R12)</f>
        <v>8.4789874743308769</v>
      </c>
      <c r="AO20" s="96"/>
      <c r="AP20" s="97">
        <f>AVERAGE('C7'!R5:R12)</f>
        <v>4.1307887695458119</v>
      </c>
    </row>
    <row r="21" spans="2:42" ht="15.75" thickBot="1" x14ac:dyDescent="0.3"/>
    <row r="22" spans="2:42" x14ac:dyDescent="0.25">
      <c r="B22" s="114" t="s">
        <v>58</v>
      </c>
      <c r="C22" s="115">
        <f>MEDIAN(C14:C20)</f>
        <v>13</v>
      </c>
      <c r="D22" s="115">
        <f t="shared" ref="D22:AP22" si="0">MEDIAN(D14:D20)</f>
        <v>21</v>
      </c>
      <c r="E22" s="115">
        <f t="shared" si="0"/>
        <v>17</v>
      </c>
      <c r="F22" s="115">
        <f t="shared" si="0"/>
        <v>17.5</v>
      </c>
      <c r="G22" s="115">
        <f t="shared" si="0"/>
        <v>19</v>
      </c>
      <c r="H22" s="115">
        <f t="shared" si="0"/>
        <v>50</v>
      </c>
      <c r="I22" s="115">
        <f t="shared" si="0"/>
        <v>29.5</v>
      </c>
      <c r="J22" s="115">
        <f t="shared" si="0"/>
        <v>33.299999999999997</v>
      </c>
      <c r="K22" s="115">
        <f t="shared" si="0"/>
        <v>0</v>
      </c>
      <c r="L22" s="115">
        <f t="shared" si="0"/>
        <v>15</v>
      </c>
      <c r="M22" s="115" t="e">
        <f t="shared" si="0"/>
        <v>#NUM!</v>
      </c>
      <c r="N22" s="115">
        <f t="shared" si="0"/>
        <v>8.5</v>
      </c>
      <c r="O22" s="115">
        <f t="shared" si="0"/>
        <v>20</v>
      </c>
      <c r="P22" s="115">
        <f t="shared" si="0"/>
        <v>34</v>
      </c>
      <c r="Q22" s="115" t="e">
        <f t="shared" si="0"/>
        <v>#NUM!</v>
      </c>
      <c r="R22" s="115">
        <f t="shared" si="0"/>
        <v>28.8</v>
      </c>
      <c r="S22" s="115">
        <f t="shared" si="0"/>
        <v>1</v>
      </c>
      <c r="T22" s="115">
        <f t="shared" si="0"/>
        <v>7</v>
      </c>
      <c r="U22" s="115" t="e">
        <f t="shared" si="0"/>
        <v>#NUM!</v>
      </c>
      <c r="V22" s="115">
        <f t="shared" si="0"/>
        <v>2.1666666666666665</v>
      </c>
      <c r="W22" s="115">
        <f t="shared" si="0"/>
        <v>137</v>
      </c>
      <c r="X22" s="115">
        <f t="shared" si="0"/>
        <v>245</v>
      </c>
      <c r="Y22" s="115" t="e">
        <f t="shared" si="0"/>
        <v>#NUM!</v>
      </c>
      <c r="Z22" s="115">
        <f t="shared" si="0"/>
        <v>177.75</v>
      </c>
      <c r="AA22" s="115">
        <f t="shared" si="0"/>
        <v>0.48734962959533962</v>
      </c>
      <c r="AB22" s="115">
        <f t="shared" si="0"/>
        <v>1.2435470920459597</v>
      </c>
      <c r="AC22" s="115" t="e">
        <f t="shared" si="0"/>
        <v>#NUM!</v>
      </c>
      <c r="AD22" s="115">
        <f t="shared" si="0"/>
        <v>0.9123046374682412</v>
      </c>
      <c r="AE22" s="115">
        <f t="shared" si="0"/>
        <v>0.90344827586206899</v>
      </c>
      <c r="AF22" s="115">
        <f t="shared" si="0"/>
        <v>1</v>
      </c>
      <c r="AG22" s="115" t="e">
        <f t="shared" si="0"/>
        <v>#NUM!</v>
      </c>
      <c r="AH22" s="115">
        <f t="shared" si="0"/>
        <v>0.93432201952070826</v>
      </c>
      <c r="AI22" s="115">
        <f t="shared" si="0"/>
        <v>3.5</v>
      </c>
      <c r="AJ22" s="115">
        <f t="shared" si="0"/>
        <v>5</v>
      </c>
      <c r="AK22" s="115" t="e">
        <f t="shared" si="0"/>
        <v>#NUM!</v>
      </c>
      <c r="AL22" s="115">
        <f t="shared" si="0"/>
        <v>3.9166666666666665</v>
      </c>
      <c r="AM22" s="115">
        <f t="shared" si="0"/>
        <v>3.183098861837907</v>
      </c>
      <c r="AN22" s="115">
        <f t="shared" si="0"/>
        <v>8.2760570407785572</v>
      </c>
      <c r="AO22" s="115" t="e">
        <f t="shared" si="0"/>
        <v>#NUM!</v>
      </c>
      <c r="AP22" s="129">
        <f t="shared" si="0"/>
        <v>5.9842258602552656</v>
      </c>
    </row>
    <row r="23" spans="2:42" x14ac:dyDescent="0.25">
      <c r="B23" s="120" t="s">
        <v>35</v>
      </c>
      <c r="C23" s="93">
        <f>MIN(C14:C20)</f>
        <v>6</v>
      </c>
      <c r="D23" s="93">
        <f t="shared" ref="D23:AP23" si="1">MIN(D14:D20)</f>
        <v>9</v>
      </c>
      <c r="E23" s="93">
        <f t="shared" si="1"/>
        <v>8</v>
      </c>
      <c r="F23" s="93">
        <f t="shared" si="1"/>
        <v>8</v>
      </c>
      <c r="G23" s="93">
        <f t="shared" si="1"/>
        <v>10</v>
      </c>
      <c r="H23" s="93">
        <f t="shared" si="1"/>
        <v>26</v>
      </c>
      <c r="I23" s="93">
        <f t="shared" si="1"/>
        <v>19</v>
      </c>
      <c r="J23" s="93">
        <f t="shared" si="1"/>
        <v>19</v>
      </c>
      <c r="K23" s="93">
        <f t="shared" si="1"/>
        <v>0</v>
      </c>
      <c r="L23" s="93">
        <f t="shared" si="1"/>
        <v>3</v>
      </c>
      <c r="M23" s="93">
        <f t="shared" si="1"/>
        <v>0</v>
      </c>
      <c r="N23" s="93">
        <f t="shared" si="1"/>
        <v>1</v>
      </c>
      <c r="O23" s="93">
        <f t="shared" si="1"/>
        <v>7</v>
      </c>
      <c r="P23" s="93">
        <f t="shared" si="1"/>
        <v>21</v>
      </c>
      <c r="Q23" s="93">
        <f t="shared" si="1"/>
        <v>0</v>
      </c>
      <c r="R23" s="93">
        <f t="shared" si="1"/>
        <v>12</v>
      </c>
      <c r="S23" s="93">
        <f t="shared" si="1"/>
        <v>0</v>
      </c>
      <c r="T23" s="93">
        <f t="shared" si="1"/>
        <v>1</v>
      </c>
      <c r="U23" s="93">
        <f t="shared" si="1"/>
        <v>0</v>
      </c>
      <c r="V23" s="93">
        <f t="shared" si="1"/>
        <v>0.8</v>
      </c>
      <c r="W23" s="93">
        <f t="shared" si="1"/>
        <v>32</v>
      </c>
      <c r="X23" s="93">
        <f t="shared" si="1"/>
        <v>102</v>
      </c>
      <c r="Y23" s="93">
        <f t="shared" si="1"/>
        <v>0</v>
      </c>
      <c r="Z23" s="93">
        <f t="shared" si="1"/>
        <v>59.5</v>
      </c>
      <c r="AA23" s="93">
        <f t="shared" si="1"/>
        <v>0.26030339129744001</v>
      </c>
      <c r="AB23" s="93">
        <f t="shared" si="1"/>
        <v>0.68295492469343322</v>
      </c>
      <c r="AC23" s="93">
        <f t="shared" si="1"/>
        <v>0</v>
      </c>
      <c r="AD23" s="93">
        <f t="shared" si="1"/>
        <v>0.5629517315115391</v>
      </c>
      <c r="AE23" s="93">
        <f t="shared" si="1"/>
        <v>0.82191780821917804</v>
      </c>
      <c r="AF23" s="93">
        <f t="shared" si="1"/>
        <v>0.9438202247191011</v>
      </c>
      <c r="AG23" s="93">
        <f t="shared" si="1"/>
        <v>0</v>
      </c>
      <c r="AH23" s="93">
        <f t="shared" si="1"/>
        <v>0.87266880488843612</v>
      </c>
      <c r="AI23" s="93">
        <f t="shared" si="1"/>
        <v>2.0689655172413794</v>
      </c>
      <c r="AJ23" s="93">
        <f t="shared" si="1"/>
        <v>3.103448275862069</v>
      </c>
      <c r="AK23" s="93">
        <f t="shared" si="1"/>
        <v>0</v>
      </c>
      <c r="AL23" s="93">
        <f t="shared" si="1"/>
        <v>2.7586206896551722</v>
      </c>
      <c r="AM23" s="93">
        <f t="shared" si="1"/>
        <v>1.195754643815893</v>
      </c>
      <c r="AN23" s="93">
        <f t="shared" si="1"/>
        <v>3.8197186342054881</v>
      </c>
      <c r="AO23" s="93">
        <f t="shared" si="1"/>
        <v>0</v>
      </c>
      <c r="AP23" s="94">
        <f t="shared" si="1"/>
        <v>2.9708922710487129</v>
      </c>
    </row>
    <row r="24" spans="2:42" x14ac:dyDescent="0.25">
      <c r="B24" s="120" t="s">
        <v>36</v>
      </c>
      <c r="C24" s="93">
        <f>MAX(C14:C20)</f>
        <v>19</v>
      </c>
      <c r="D24" s="93">
        <f t="shared" ref="D24:AP24" si="2">MAX(D14:D20)</f>
        <v>30</v>
      </c>
      <c r="E24" s="93">
        <f t="shared" si="2"/>
        <v>22</v>
      </c>
      <c r="F24" s="93">
        <f t="shared" si="2"/>
        <v>22.777777777777779</v>
      </c>
      <c r="G24" s="93">
        <f t="shared" si="2"/>
        <v>22</v>
      </c>
      <c r="H24" s="93">
        <f t="shared" si="2"/>
        <v>58</v>
      </c>
      <c r="I24" s="93">
        <f t="shared" si="2"/>
        <v>41</v>
      </c>
      <c r="J24" s="93">
        <f t="shared" si="2"/>
        <v>38.5</v>
      </c>
      <c r="K24" s="93">
        <f t="shared" si="2"/>
        <v>5</v>
      </c>
      <c r="L24" s="93">
        <f t="shared" si="2"/>
        <v>19</v>
      </c>
      <c r="M24" s="93">
        <f t="shared" si="2"/>
        <v>0</v>
      </c>
      <c r="N24" s="93">
        <f t="shared" si="2"/>
        <v>13</v>
      </c>
      <c r="O24" s="93">
        <f t="shared" si="2"/>
        <v>28</v>
      </c>
      <c r="P24" s="93">
        <f t="shared" si="2"/>
        <v>60</v>
      </c>
      <c r="Q24" s="93">
        <f t="shared" si="2"/>
        <v>0</v>
      </c>
      <c r="R24" s="93">
        <f t="shared" si="2"/>
        <v>38.166666666666664</v>
      </c>
      <c r="S24" s="93">
        <f t="shared" si="2"/>
        <v>6</v>
      </c>
      <c r="T24" s="93">
        <f t="shared" si="2"/>
        <v>16</v>
      </c>
      <c r="U24" s="93">
        <f t="shared" si="2"/>
        <v>0</v>
      </c>
      <c r="V24" s="93">
        <f t="shared" si="2"/>
        <v>9.6</v>
      </c>
      <c r="W24" s="93">
        <f t="shared" si="2"/>
        <v>168</v>
      </c>
      <c r="X24" s="93">
        <f t="shared" si="2"/>
        <v>358</v>
      </c>
      <c r="Y24" s="93">
        <f t="shared" si="2"/>
        <v>0</v>
      </c>
      <c r="Z24" s="93">
        <f t="shared" si="2"/>
        <v>244.4</v>
      </c>
      <c r="AA24" s="93">
        <f t="shared" si="2"/>
        <v>1.1780972450961724</v>
      </c>
      <c r="AB24" s="93">
        <f t="shared" si="2"/>
        <v>2.2462387473167023</v>
      </c>
      <c r="AC24" s="93">
        <f t="shared" si="2"/>
        <v>0</v>
      </c>
      <c r="AD24" s="93">
        <f t="shared" si="2"/>
        <v>1.5384070435607711</v>
      </c>
      <c r="AE24" s="93">
        <f t="shared" si="2"/>
        <v>0.97169811320754718</v>
      </c>
      <c r="AF24" s="93">
        <f t="shared" si="2"/>
        <v>1</v>
      </c>
      <c r="AG24" s="93">
        <f t="shared" si="2"/>
        <v>0</v>
      </c>
      <c r="AH24" s="93">
        <f t="shared" si="2"/>
        <v>0.98932423750591747</v>
      </c>
      <c r="AI24" s="93">
        <f t="shared" si="2"/>
        <v>4.75</v>
      </c>
      <c r="AJ24" s="93">
        <f t="shared" si="2"/>
        <v>7.5</v>
      </c>
      <c r="AK24" s="93">
        <f t="shared" si="2"/>
        <v>0</v>
      </c>
      <c r="AL24" s="93">
        <f t="shared" si="2"/>
        <v>5.75</v>
      </c>
      <c r="AM24" s="93">
        <f t="shared" si="2"/>
        <v>5.2521131220325463</v>
      </c>
      <c r="AN24" s="93">
        <f t="shared" si="2"/>
        <v>10.981691073340778</v>
      </c>
      <c r="AO24" s="93">
        <f t="shared" si="2"/>
        <v>0</v>
      </c>
      <c r="AP24" s="94">
        <f t="shared" si="2"/>
        <v>7.9312213307461166</v>
      </c>
    </row>
    <row r="25" spans="2:42" x14ac:dyDescent="0.25">
      <c r="B25" s="120" t="s">
        <v>59</v>
      </c>
      <c r="C25" s="19">
        <f>(MAX(C14:C20)-MIN(C14:C20))</f>
        <v>13</v>
      </c>
      <c r="D25" s="19">
        <f t="shared" ref="D25:AP25" si="3">(MAX(D14:D20)-MIN(D14:D20))</f>
        <v>21</v>
      </c>
      <c r="E25" s="19">
        <f t="shared" si="3"/>
        <v>14</v>
      </c>
      <c r="F25" s="19">
        <f t="shared" si="3"/>
        <v>14.777777777777779</v>
      </c>
      <c r="G25" s="19">
        <f t="shared" si="3"/>
        <v>12</v>
      </c>
      <c r="H25" s="19">
        <f t="shared" si="3"/>
        <v>32</v>
      </c>
      <c r="I25" s="19">
        <f t="shared" si="3"/>
        <v>22</v>
      </c>
      <c r="J25" s="19">
        <f t="shared" si="3"/>
        <v>19.5</v>
      </c>
      <c r="K25" s="19">
        <f t="shared" si="3"/>
        <v>5</v>
      </c>
      <c r="L25" s="19">
        <f t="shared" si="3"/>
        <v>16</v>
      </c>
      <c r="M25" s="19">
        <f t="shared" si="3"/>
        <v>0</v>
      </c>
      <c r="N25" s="19">
        <f t="shared" si="3"/>
        <v>12</v>
      </c>
      <c r="O25" s="19">
        <f t="shared" si="3"/>
        <v>21</v>
      </c>
      <c r="P25" s="19">
        <f t="shared" si="3"/>
        <v>39</v>
      </c>
      <c r="Q25" s="19">
        <f t="shared" si="3"/>
        <v>0</v>
      </c>
      <c r="R25" s="19">
        <f t="shared" si="3"/>
        <v>26.166666666666664</v>
      </c>
      <c r="S25" s="19">
        <f t="shared" si="3"/>
        <v>6</v>
      </c>
      <c r="T25" s="19">
        <f t="shared" si="3"/>
        <v>15</v>
      </c>
      <c r="U25" s="19">
        <f t="shared" si="3"/>
        <v>0</v>
      </c>
      <c r="V25" s="19">
        <f t="shared" si="3"/>
        <v>8.7999999999999989</v>
      </c>
      <c r="W25" s="19">
        <f t="shared" si="3"/>
        <v>136</v>
      </c>
      <c r="X25" s="19">
        <f t="shared" si="3"/>
        <v>256</v>
      </c>
      <c r="Y25" s="19">
        <f t="shared" si="3"/>
        <v>0</v>
      </c>
      <c r="Z25" s="19">
        <f t="shared" si="3"/>
        <v>184.9</v>
      </c>
      <c r="AA25" s="19">
        <f t="shared" si="3"/>
        <v>0.91779385379873246</v>
      </c>
      <c r="AB25" s="19">
        <f t="shared" si="3"/>
        <v>1.563283822623269</v>
      </c>
      <c r="AC25" s="19">
        <f t="shared" si="3"/>
        <v>0</v>
      </c>
      <c r="AD25" s="19">
        <f t="shared" si="3"/>
        <v>0.97545531204923197</v>
      </c>
      <c r="AE25" s="19">
        <f t="shared" si="3"/>
        <v>0.14978030498836914</v>
      </c>
      <c r="AF25" s="19">
        <f t="shared" si="3"/>
        <v>5.6179775280898903E-2</v>
      </c>
      <c r="AG25" s="19">
        <f t="shared" si="3"/>
        <v>0</v>
      </c>
      <c r="AH25" s="19">
        <f t="shared" si="3"/>
        <v>0.11665543261748135</v>
      </c>
      <c r="AI25" s="19">
        <f t="shared" si="3"/>
        <v>2.6810344827586206</v>
      </c>
      <c r="AJ25" s="19">
        <f t="shared" si="3"/>
        <v>4.3965517241379306</v>
      </c>
      <c r="AK25" s="19">
        <f t="shared" si="3"/>
        <v>0</v>
      </c>
      <c r="AL25" s="19">
        <f t="shared" si="3"/>
        <v>2.9913793103448278</v>
      </c>
      <c r="AM25" s="19">
        <f t="shared" si="3"/>
        <v>4.0563584782166533</v>
      </c>
      <c r="AN25" s="19">
        <f t="shared" si="3"/>
        <v>7.1619724391352904</v>
      </c>
      <c r="AO25" s="19">
        <f t="shared" si="3"/>
        <v>0</v>
      </c>
      <c r="AP25" s="130">
        <f t="shared" si="3"/>
        <v>4.9603290596974041</v>
      </c>
    </row>
    <row r="26" spans="2:42" ht="15.75" thickBot="1" x14ac:dyDescent="0.3">
      <c r="B26" s="124" t="s">
        <v>60</v>
      </c>
      <c r="C26" s="96">
        <f>(QUARTILE(C14:C20,3)-QUARTILE(C14:C20,1))/C22</f>
        <v>0.23076923076923078</v>
      </c>
      <c r="D26" s="96">
        <f t="shared" ref="D26:AP26" si="4">(QUARTILE(D14:D20,3)-QUARTILE(D14:D20,1))/D22</f>
        <v>0.11904761904761904</v>
      </c>
      <c r="E26" s="96">
        <f t="shared" si="4"/>
        <v>0.3235294117647059</v>
      </c>
      <c r="F26" s="96">
        <f t="shared" si="4"/>
        <v>0.25357142857142856</v>
      </c>
      <c r="G26" s="96">
        <f t="shared" si="4"/>
        <v>0.28947368421052633</v>
      </c>
      <c r="H26" s="96">
        <f t="shared" si="4"/>
        <v>0.22</v>
      </c>
      <c r="I26" s="96">
        <f t="shared" si="4"/>
        <v>0.39830508474576271</v>
      </c>
      <c r="J26" s="96">
        <f t="shared" si="4"/>
        <v>0.29967467467467462</v>
      </c>
      <c r="K26" s="96" t="e">
        <f t="shared" si="4"/>
        <v>#DIV/0!</v>
      </c>
      <c r="L26" s="96">
        <f t="shared" si="4"/>
        <v>0.7</v>
      </c>
      <c r="M26" s="96" t="e">
        <f t="shared" si="4"/>
        <v>#NUM!</v>
      </c>
      <c r="N26" s="96">
        <f t="shared" si="4"/>
        <v>0.81813725490196088</v>
      </c>
      <c r="O26" s="96">
        <f t="shared" si="4"/>
        <v>0.45</v>
      </c>
      <c r="P26" s="96">
        <f t="shared" si="4"/>
        <v>0.6029411764705882</v>
      </c>
      <c r="Q26" s="96" t="e">
        <f t="shared" si="4"/>
        <v>#NUM!</v>
      </c>
      <c r="R26" s="96">
        <f t="shared" si="4"/>
        <v>0.3315972222222221</v>
      </c>
      <c r="S26" s="96">
        <f t="shared" si="4"/>
        <v>4</v>
      </c>
      <c r="T26" s="96">
        <f t="shared" si="4"/>
        <v>1.0714285714285714</v>
      </c>
      <c r="U26" s="96" t="e">
        <f t="shared" si="4"/>
        <v>#NUM!</v>
      </c>
      <c r="V26" s="96">
        <f t="shared" si="4"/>
        <v>2.2884615384615388</v>
      </c>
      <c r="W26" s="96">
        <f t="shared" si="4"/>
        <v>0.354014598540146</v>
      </c>
      <c r="X26" s="96">
        <f t="shared" si="4"/>
        <v>0.3510204081632653</v>
      </c>
      <c r="Y26" s="96" t="e">
        <f t="shared" si="4"/>
        <v>#NUM!</v>
      </c>
      <c r="Z26" s="96">
        <f t="shared" si="4"/>
        <v>0.21896390060947016</v>
      </c>
      <c r="AA26" s="96">
        <f t="shared" si="4"/>
        <v>0.42499101688825014</v>
      </c>
      <c r="AB26" s="96">
        <f t="shared" si="4"/>
        <v>0.68331142541668854</v>
      </c>
      <c r="AC26" s="96" t="e">
        <f t="shared" si="4"/>
        <v>#NUM!</v>
      </c>
      <c r="AD26" s="96">
        <f t="shared" si="4"/>
        <v>0.42736355897446987</v>
      </c>
      <c r="AE26" s="96">
        <f t="shared" si="4"/>
        <v>6.1038414314193913E-2</v>
      </c>
      <c r="AF26" s="96">
        <f t="shared" si="4"/>
        <v>3.2900432900432874E-2</v>
      </c>
      <c r="AG26" s="96" t="e">
        <f t="shared" si="4"/>
        <v>#NUM!</v>
      </c>
      <c r="AH26" s="96">
        <f t="shared" si="4"/>
        <v>5.2237724037225888E-2</v>
      </c>
      <c r="AI26" s="96">
        <f t="shared" si="4"/>
        <v>0.25914994096812272</v>
      </c>
      <c r="AJ26" s="96">
        <f t="shared" si="4"/>
        <v>0.19111570247933879</v>
      </c>
      <c r="AK26" s="96" t="e">
        <f t="shared" si="4"/>
        <v>#NUM!</v>
      </c>
      <c r="AL26" s="96">
        <f t="shared" si="4"/>
        <v>0.27629681730261979</v>
      </c>
      <c r="AM26" s="96">
        <f t="shared" si="4"/>
        <v>0.74206302021403081</v>
      </c>
      <c r="AN26" s="96">
        <f t="shared" si="4"/>
        <v>0.20060043726605128</v>
      </c>
      <c r="AO26" s="96" t="e">
        <f t="shared" si="4"/>
        <v>#NUM!</v>
      </c>
      <c r="AP26" s="97">
        <f t="shared" si="4"/>
        <v>0.43052147888536735</v>
      </c>
    </row>
  </sheetData>
  <mergeCells count="24">
    <mergeCell ref="AI12:AL12"/>
    <mergeCell ref="AM12:AP12"/>
    <mergeCell ref="K11:Z11"/>
    <mergeCell ref="W12:Z12"/>
    <mergeCell ref="C2:R2"/>
    <mergeCell ref="S2:T2"/>
    <mergeCell ref="C3:R9"/>
    <mergeCell ref="C11:J11"/>
    <mergeCell ref="AA11:AP11"/>
    <mergeCell ref="C12:F12"/>
    <mergeCell ref="G12:J12"/>
    <mergeCell ref="K12:N12"/>
    <mergeCell ref="O12:R12"/>
    <mergeCell ref="S12:V12"/>
    <mergeCell ref="AA12:AD12"/>
    <mergeCell ref="AE12:AH12"/>
    <mergeCell ref="B11:B12"/>
    <mergeCell ref="S3:T3"/>
    <mergeCell ref="S4:T4"/>
    <mergeCell ref="S5:T5"/>
    <mergeCell ref="S6:T6"/>
    <mergeCell ref="S7:T7"/>
    <mergeCell ref="S8:T8"/>
    <mergeCell ref="S9:T9"/>
  </mergeCells>
  <conditionalFormatting sqref="C26:AP26">
    <cfRule type="cellIs" dxfId="31" priority="1" operator="greaterThan">
      <formula>1</formula>
    </cfRule>
    <cfRule type="cellIs" dxfId="30" priority="2" operator="between">
      <formula>0.6</formula>
      <formula>1</formula>
    </cfRule>
    <cfRule type="cellIs" dxfId="29" priority="3" operator="between">
      <formula>0.3</formula>
      <formula>0.6</formula>
    </cfRule>
    <cfRule type="cellIs" dxfId="28" priority="4" operator="lessThan">
      <formula>0.3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7"/>
  <sheetViews>
    <sheetView workbookViewId="0">
      <selection activeCell="D10" sqref="D10:F10"/>
    </sheetView>
  </sheetViews>
  <sheetFormatPr defaultColWidth="8.85546875" defaultRowHeight="15" x14ac:dyDescent="0.25"/>
  <cols>
    <col min="1" max="1" width="8.85546875" style="15"/>
    <col min="2" max="2" width="11.5703125" style="15" customWidth="1"/>
    <col min="3" max="16384" width="8.85546875" style="15"/>
  </cols>
  <sheetData>
    <row r="1" spans="2:26" ht="15.75" thickBot="1" x14ac:dyDescent="0.3"/>
    <row r="2" spans="2:26" ht="15.75" customHeight="1" thickBot="1" x14ac:dyDescent="0.3">
      <c r="B2" s="131" t="s">
        <v>54</v>
      </c>
      <c r="C2" s="153"/>
      <c r="D2" s="153"/>
      <c r="E2" s="153"/>
      <c r="F2" s="154"/>
      <c r="G2" s="157" t="s">
        <v>41</v>
      </c>
      <c r="H2" s="158"/>
      <c r="I2" s="158"/>
      <c r="J2" s="158"/>
      <c r="K2" s="158"/>
      <c r="L2" s="158"/>
      <c r="M2" s="158"/>
      <c r="N2" s="158"/>
      <c r="O2" s="159"/>
      <c r="P2" s="162" t="s">
        <v>42</v>
      </c>
      <c r="Q2" s="163"/>
      <c r="R2" s="163"/>
      <c r="S2" s="164"/>
    </row>
    <row r="3" spans="2:26" ht="15.75" thickBot="1" x14ac:dyDescent="0.3">
      <c r="B3" s="132"/>
      <c r="C3" s="155"/>
      <c r="D3" s="155"/>
      <c r="E3" s="155"/>
      <c r="F3" s="156"/>
      <c r="G3" s="160" t="s">
        <v>7</v>
      </c>
      <c r="H3" s="161"/>
      <c r="I3" s="157" t="s">
        <v>8</v>
      </c>
      <c r="J3" s="158"/>
      <c r="K3" s="158"/>
      <c r="L3" s="158"/>
      <c r="M3" s="158"/>
      <c r="N3" s="158"/>
      <c r="O3" s="159"/>
      <c r="P3" s="165"/>
      <c r="Q3" s="166"/>
      <c r="R3" s="166"/>
      <c r="S3" s="167"/>
    </row>
    <row r="4" spans="2:26" ht="15.75" thickBot="1" x14ac:dyDescent="0.3">
      <c r="B4" s="44" t="s">
        <v>44</v>
      </c>
      <c r="C4" s="45" t="s">
        <v>43</v>
      </c>
      <c r="D4" s="46" t="s">
        <v>45</v>
      </c>
      <c r="E4" s="46" t="s">
        <v>46</v>
      </c>
      <c r="F4" s="48" t="s">
        <v>47</v>
      </c>
      <c r="G4" s="46" t="s">
        <v>13</v>
      </c>
      <c r="H4" s="48" t="s">
        <v>48</v>
      </c>
      <c r="I4" s="46" t="s">
        <v>10</v>
      </c>
      <c r="J4" s="46" t="s">
        <v>11</v>
      </c>
      <c r="K4" s="46" t="s">
        <v>12</v>
      </c>
      <c r="L4" s="46" t="s">
        <v>8</v>
      </c>
      <c r="M4" s="48" t="s">
        <v>49</v>
      </c>
      <c r="N4" s="46" t="s">
        <v>13</v>
      </c>
      <c r="O4" s="48" t="s">
        <v>14</v>
      </c>
      <c r="P4" s="49" t="s">
        <v>15</v>
      </c>
      <c r="Q4" s="46" t="s">
        <v>50</v>
      </c>
      <c r="R4" s="46" t="s">
        <v>21</v>
      </c>
      <c r="S4" s="50" t="s">
        <v>17</v>
      </c>
    </row>
    <row r="5" spans="2:26" ht="15.75" thickTop="1" x14ac:dyDescent="0.25">
      <c r="B5" s="1" t="s">
        <v>18</v>
      </c>
      <c r="C5" s="2">
        <v>1</v>
      </c>
      <c r="D5" s="3">
        <v>4</v>
      </c>
      <c r="E5" s="3">
        <v>4</v>
      </c>
      <c r="F5" s="4">
        <v>4</v>
      </c>
      <c r="G5" s="3">
        <v>15</v>
      </c>
      <c r="H5" s="4">
        <v>22</v>
      </c>
      <c r="I5" s="3">
        <v>0</v>
      </c>
      <c r="J5" s="3">
        <v>20</v>
      </c>
      <c r="K5" s="3">
        <v>7</v>
      </c>
      <c r="L5" s="3">
        <f t="shared" ref="L5:L10" si="0">SUM(I5:K5)</f>
        <v>27</v>
      </c>
      <c r="M5" s="4">
        <f>(3*60)+50</f>
        <v>230</v>
      </c>
      <c r="N5" s="3">
        <f t="shared" ref="N5:N10" si="1">G5</f>
        <v>15</v>
      </c>
      <c r="O5" s="4">
        <f t="shared" ref="O5:O10" si="2">I5+J5</f>
        <v>20</v>
      </c>
      <c r="P5" s="5">
        <f t="shared" ref="P5:P10" si="3">((PI()*C5)/2)*(N5/O5)</f>
        <v>1.1780972450961724</v>
      </c>
      <c r="Q5" s="6">
        <f t="shared" ref="Q5:Q10" si="4">N5/(4*C5)</f>
        <v>3.75</v>
      </c>
      <c r="R5" s="6">
        <f t="shared" ref="R5:R10" si="5">O5/(2*(PI())*(C5^2))</f>
        <v>3.183098861837907</v>
      </c>
      <c r="S5" s="7">
        <f t="shared" ref="S5:S10" si="6">((3*J5)+(4*K5))/(I5+(3*J5)+(4*K5))</f>
        <v>1</v>
      </c>
    </row>
    <row r="6" spans="2:26" x14ac:dyDescent="0.25">
      <c r="B6" s="1" t="s">
        <v>19</v>
      </c>
      <c r="C6" s="2">
        <v>1</v>
      </c>
      <c r="D6" s="3">
        <v>4</v>
      </c>
      <c r="E6" s="3">
        <v>4</v>
      </c>
      <c r="F6" s="4">
        <v>4</v>
      </c>
      <c r="G6" s="3">
        <v>19</v>
      </c>
      <c r="H6" s="4">
        <v>29</v>
      </c>
      <c r="I6" s="3">
        <v>0</v>
      </c>
      <c r="J6" s="3">
        <v>15</v>
      </c>
      <c r="K6" s="3">
        <v>7</v>
      </c>
      <c r="L6" s="3">
        <f t="shared" si="0"/>
        <v>22</v>
      </c>
      <c r="M6" s="4" t="s">
        <v>23</v>
      </c>
      <c r="N6" s="3">
        <f t="shared" si="1"/>
        <v>19</v>
      </c>
      <c r="O6" s="4">
        <f t="shared" si="2"/>
        <v>15</v>
      </c>
      <c r="P6" s="5">
        <f t="shared" si="3"/>
        <v>1.9896753472735356</v>
      </c>
      <c r="Q6" s="6">
        <f t="shared" si="4"/>
        <v>4.75</v>
      </c>
      <c r="R6" s="6">
        <f t="shared" si="5"/>
        <v>2.3873241463784303</v>
      </c>
      <c r="S6" s="7">
        <f t="shared" si="6"/>
        <v>1</v>
      </c>
    </row>
    <row r="7" spans="2:26" x14ac:dyDescent="0.25">
      <c r="B7" s="1" t="s">
        <v>20</v>
      </c>
      <c r="C7" s="2">
        <v>1</v>
      </c>
      <c r="D7" s="3">
        <v>3</v>
      </c>
      <c r="E7" s="3">
        <v>3</v>
      </c>
      <c r="F7" s="4">
        <v>3</v>
      </c>
      <c r="G7" s="3">
        <v>16</v>
      </c>
      <c r="H7" s="4">
        <v>42</v>
      </c>
      <c r="I7" s="3">
        <v>0</v>
      </c>
      <c r="J7" s="3">
        <v>20</v>
      </c>
      <c r="K7" s="3">
        <v>7</v>
      </c>
      <c r="L7" s="3">
        <f t="shared" si="0"/>
        <v>27</v>
      </c>
      <c r="M7" s="4">
        <f>(60*3)+14</f>
        <v>194</v>
      </c>
      <c r="N7" s="3">
        <f t="shared" si="1"/>
        <v>16</v>
      </c>
      <c r="O7" s="4">
        <f t="shared" si="2"/>
        <v>20</v>
      </c>
      <c r="P7" s="5">
        <f t="shared" si="3"/>
        <v>1.2566370614359172</v>
      </c>
      <c r="Q7" s="6">
        <f t="shared" si="4"/>
        <v>4</v>
      </c>
      <c r="R7" s="6">
        <f t="shared" si="5"/>
        <v>3.183098861837907</v>
      </c>
      <c r="S7" s="7">
        <f t="shared" si="6"/>
        <v>1</v>
      </c>
    </row>
    <row r="8" spans="2:26" x14ac:dyDescent="0.25">
      <c r="B8" s="1" t="s">
        <v>21</v>
      </c>
      <c r="C8" s="2">
        <v>1</v>
      </c>
      <c r="D8" s="3">
        <v>4</v>
      </c>
      <c r="E8" s="3">
        <v>4</v>
      </c>
      <c r="F8" s="4">
        <v>4</v>
      </c>
      <c r="G8" s="3">
        <v>16</v>
      </c>
      <c r="H8" s="4">
        <v>30</v>
      </c>
      <c r="I8" s="3">
        <v>2</v>
      </c>
      <c r="J8" s="3">
        <v>18</v>
      </c>
      <c r="K8" s="3">
        <v>6</v>
      </c>
      <c r="L8" s="3">
        <f t="shared" si="0"/>
        <v>26</v>
      </c>
      <c r="M8" s="4">
        <f>120+30</f>
        <v>150</v>
      </c>
      <c r="N8" s="3">
        <f t="shared" si="1"/>
        <v>16</v>
      </c>
      <c r="O8" s="4">
        <f t="shared" si="2"/>
        <v>20</v>
      </c>
      <c r="P8" s="5">
        <f t="shared" si="3"/>
        <v>1.2566370614359172</v>
      </c>
      <c r="Q8" s="6">
        <f t="shared" si="4"/>
        <v>4</v>
      </c>
      <c r="R8" s="6">
        <f t="shared" si="5"/>
        <v>3.183098861837907</v>
      </c>
      <c r="S8" s="7">
        <f t="shared" si="6"/>
        <v>0.97499999999999998</v>
      </c>
    </row>
    <row r="9" spans="2:26" x14ac:dyDescent="0.25">
      <c r="B9" s="36" t="s">
        <v>53</v>
      </c>
      <c r="C9" s="2">
        <v>1</v>
      </c>
      <c r="D9" s="3">
        <v>1</v>
      </c>
      <c r="E9" s="3">
        <v>1</v>
      </c>
      <c r="F9" s="4">
        <v>1</v>
      </c>
      <c r="G9" s="3">
        <v>18</v>
      </c>
      <c r="H9" s="4">
        <v>19</v>
      </c>
      <c r="I9" s="3">
        <v>1</v>
      </c>
      <c r="J9" s="3">
        <v>12</v>
      </c>
      <c r="K9" s="3">
        <v>14</v>
      </c>
      <c r="L9" s="3">
        <f t="shared" si="0"/>
        <v>27</v>
      </c>
      <c r="M9" s="4" t="s">
        <v>23</v>
      </c>
      <c r="N9" s="3">
        <f t="shared" si="1"/>
        <v>18</v>
      </c>
      <c r="O9" s="4">
        <f t="shared" si="2"/>
        <v>13</v>
      </c>
      <c r="P9" s="5">
        <f t="shared" si="3"/>
        <v>2.174948760177549</v>
      </c>
      <c r="Q9" s="6">
        <f t="shared" si="4"/>
        <v>4.5</v>
      </c>
      <c r="R9" s="6">
        <f t="shared" si="5"/>
        <v>2.0690142601946393</v>
      </c>
      <c r="S9" s="7">
        <f t="shared" si="6"/>
        <v>0.989247311827957</v>
      </c>
    </row>
    <row r="10" spans="2:26" ht="15.75" thickBot="1" x14ac:dyDescent="0.3">
      <c r="B10" s="8" t="s">
        <v>22</v>
      </c>
      <c r="C10" s="9">
        <v>1</v>
      </c>
      <c r="D10" s="10">
        <v>3</v>
      </c>
      <c r="E10" s="10">
        <v>3</v>
      </c>
      <c r="F10" s="11">
        <v>3</v>
      </c>
      <c r="G10" s="10">
        <v>21</v>
      </c>
      <c r="H10" s="11">
        <v>33</v>
      </c>
      <c r="I10" s="10">
        <v>3</v>
      </c>
      <c r="J10" s="10">
        <v>21</v>
      </c>
      <c r="K10" s="10">
        <v>10</v>
      </c>
      <c r="L10" s="10">
        <f t="shared" si="0"/>
        <v>34</v>
      </c>
      <c r="M10" s="11">
        <f>120+17</f>
        <v>137</v>
      </c>
      <c r="N10" s="10">
        <f t="shared" si="1"/>
        <v>21</v>
      </c>
      <c r="O10" s="11">
        <f t="shared" si="2"/>
        <v>24</v>
      </c>
      <c r="P10" s="12">
        <f t="shared" si="3"/>
        <v>1.3744467859455345</v>
      </c>
      <c r="Q10" s="13">
        <f t="shared" si="4"/>
        <v>5.25</v>
      </c>
      <c r="R10" s="13">
        <f t="shared" si="5"/>
        <v>3.8197186342054881</v>
      </c>
      <c r="S10" s="14">
        <f t="shared" si="6"/>
        <v>0.97169811320754718</v>
      </c>
    </row>
    <row r="11" spans="2:26" ht="15.75" thickBot="1" x14ac:dyDescent="0.3"/>
    <row r="12" spans="2:26" x14ac:dyDescent="0.25">
      <c r="F12" s="114" t="s">
        <v>57</v>
      </c>
      <c r="G12" s="115">
        <f>AVERAGE(G5:G10)</f>
        <v>17.5</v>
      </c>
      <c r="H12" s="115">
        <f t="shared" ref="H12:K12" si="7">AVERAGE(H5:H10)</f>
        <v>29.166666666666668</v>
      </c>
      <c r="I12" s="115">
        <f t="shared" si="7"/>
        <v>1</v>
      </c>
      <c r="J12" s="115">
        <f t="shared" si="7"/>
        <v>17.666666666666668</v>
      </c>
      <c r="K12" s="115">
        <f t="shared" si="7"/>
        <v>8.5</v>
      </c>
      <c r="L12" s="115">
        <f>AVERAGE(L5:L10)</f>
        <v>27.166666666666668</v>
      </c>
      <c r="M12" s="115">
        <f>AVERAGE(M5:M10)</f>
        <v>177.75</v>
      </c>
      <c r="N12" s="115">
        <f>AVERAGE(N5:N10)</f>
        <v>17.5</v>
      </c>
      <c r="O12" s="115">
        <f>AVERAGE(O5:O10)</f>
        <v>18.666666666666668</v>
      </c>
      <c r="P12" s="115">
        <f>AVERAGE(P5:P10)</f>
        <v>1.5384070435607711</v>
      </c>
      <c r="Q12" s="116">
        <f t="shared" ref="Q12:S12" si="8">AVERAGE(Q5:Q10)</f>
        <v>4.375</v>
      </c>
      <c r="R12" s="115">
        <f t="shared" si="8"/>
        <v>2.9708922710487129</v>
      </c>
      <c r="S12" s="115">
        <f t="shared" si="8"/>
        <v>0.98932423750591747</v>
      </c>
      <c r="T12" s="115"/>
      <c r="U12" s="115"/>
      <c r="V12" s="115"/>
      <c r="W12" s="116"/>
      <c r="X12" s="117"/>
      <c r="Y12" s="118"/>
      <c r="Z12" s="119"/>
    </row>
    <row r="13" spans="2:26" x14ac:dyDescent="0.25">
      <c r="F13" s="120" t="s">
        <v>58</v>
      </c>
      <c r="G13" s="93">
        <f>MEDIAN(G5:G10)</f>
        <v>17</v>
      </c>
      <c r="H13" s="93">
        <f t="shared" ref="H13:K13" si="9">MEDIAN(H5:H10)</f>
        <v>29.5</v>
      </c>
      <c r="I13" s="93">
        <f t="shared" si="9"/>
        <v>0.5</v>
      </c>
      <c r="J13" s="93">
        <f t="shared" si="9"/>
        <v>19</v>
      </c>
      <c r="K13" s="93">
        <f t="shared" si="9"/>
        <v>7</v>
      </c>
      <c r="L13" s="93">
        <f>MEDIAN(L5:L10)</f>
        <v>27</v>
      </c>
      <c r="M13" s="93">
        <f>MEDIAN(M5:M10)</f>
        <v>172</v>
      </c>
      <c r="N13" s="93">
        <f>MEDIAN(N5:N10)</f>
        <v>17</v>
      </c>
      <c r="O13" s="93">
        <f>MEDIAN(O5:O10)</f>
        <v>20</v>
      </c>
      <c r="P13" s="93">
        <f>MEDIAN(P5:P10)</f>
        <v>1.3155419236907258</v>
      </c>
      <c r="Q13" s="102">
        <f t="shared" ref="Q13:S13" si="10">MEDIAN(Q5:Q10)</f>
        <v>4.25</v>
      </c>
      <c r="R13" s="93">
        <f t="shared" si="10"/>
        <v>3.183098861837907</v>
      </c>
      <c r="S13" s="93">
        <f t="shared" si="10"/>
        <v>0.9946236559139785</v>
      </c>
      <c r="T13" s="93"/>
      <c r="U13" s="93"/>
      <c r="V13" s="93"/>
      <c r="W13" s="102"/>
      <c r="X13" s="121"/>
      <c r="Y13" s="122"/>
      <c r="Z13" s="123"/>
    </row>
    <row r="14" spans="2:26" x14ac:dyDescent="0.25">
      <c r="F14" s="120" t="s">
        <v>35</v>
      </c>
      <c r="G14" s="93">
        <f>MIN(G5:G10)</f>
        <v>15</v>
      </c>
      <c r="H14" s="93">
        <f t="shared" ref="H14:K14" si="11">MIN(H5:H10)</f>
        <v>19</v>
      </c>
      <c r="I14" s="93">
        <f t="shared" si="11"/>
        <v>0</v>
      </c>
      <c r="J14" s="93">
        <f t="shared" si="11"/>
        <v>12</v>
      </c>
      <c r="K14" s="93">
        <f t="shared" si="11"/>
        <v>6</v>
      </c>
      <c r="L14" s="93">
        <f>MIN(L5:L10)</f>
        <v>22</v>
      </c>
      <c r="M14" s="93">
        <f t="shared" ref="M14:S14" si="12">MIN(M5:M10)</f>
        <v>137</v>
      </c>
      <c r="N14" s="93">
        <f t="shared" si="12"/>
        <v>15</v>
      </c>
      <c r="O14" s="93">
        <f t="shared" si="12"/>
        <v>13</v>
      </c>
      <c r="P14" s="93">
        <f t="shared" si="12"/>
        <v>1.1780972450961724</v>
      </c>
      <c r="Q14" s="102">
        <f t="shared" si="12"/>
        <v>3.75</v>
      </c>
      <c r="R14" s="93">
        <f t="shared" si="12"/>
        <v>2.0690142601946393</v>
      </c>
      <c r="S14" s="93">
        <f t="shared" si="12"/>
        <v>0.97169811320754718</v>
      </c>
      <c r="T14" s="93"/>
      <c r="U14" s="93"/>
      <c r="V14" s="93"/>
      <c r="W14" s="102"/>
      <c r="X14" s="121"/>
      <c r="Y14" s="122"/>
      <c r="Z14" s="123"/>
    </row>
    <row r="15" spans="2:26" x14ac:dyDescent="0.25">
      <c r="F15" s="120" t="s">
        <v>36</v>
      </c>
      <c r="G15" s="93">
        <f>MAX(G5:G10)</f>
        <v>21</v>
      </c>
      <c r="H15" s="93">
        <f t="shared" ref="H15:K15" si="13">MAX(H5:H10)</f>
        <v>42</v>
      </c>
      <c r="I15" s="93">
        <f t="shared" si="13"/>
        <v>3</v>
      </c>
      <c r="J15" s="93">
        <f t="shared" si="13"/>
        <v>21</v>
      </c>
      <c r="K15" s="93">
        <f t="shared" si="13"/>
        <v>14</v>
      </c>
      <c r="L15" s="93">
        <f>MAX(L5:L10)</f>
        <v>34</v>
      </c>
      <c r="M15" s="93">
        <f t="shared" ref="M15:S15" si="14">MAX(M5:M10)</f>
        <v>230</v>
      </c>
      <c r="N15" s="93">
        <f t="shared" si="14"/>
        <v>21</v>
      </c>
      <c r="O15" s="93">
        <f t="shared" si="14"/>
        <v>24</v>
      </c>
      <c r="P15" s="93">
        <f t="shared" si="14"/>
        <v>2.174948760177549</v>
      </c>
      <c r="Q15" s="102">
        <f t="shared" si="14"/>
        <v>5.25</v>
      </c>
      <c r="R15" s="93">
        <f t="shared" si="14"/>
        <v>3.8197186342054881</v>
      </c>
      <c r="S15" s="93">
        <f t="shared" si="14"/>
        <v>1</v>
      </c>
      <c r="T15" s="93"/>
      <c r="U15" s="93"/>
      <c r="V15" s="93"/>
      <c r="W15" s="102"/>
      <c r="X15" s="121"/>
      <c r="Y15" s="122"/>
      <c r="Z15" s="123"/>
    </row>
    <row r="16" spans="2:26" x14ac:dyDescent="0.25">
      <c r="F16" s="120" t="s">
        <v>59</v>
      </c>
      <c r="G16" s="19">
        <f>(MAX(G5:G10)-MIN(G5:G10))</f>
        <v>6</v>
      </c>
      <c r="H16" s="19">
        <f t="shared" ref="H16:K16" si="15">(MAX(H5:H10)-MIN(H5:H10))</f>
        <v>23</v>
      </c>
      <c r="I16" s="19">
        <f t="shared" si="15"/>
        <v>3</v>
      </c>
      <c r="J16" s="19">
        <f t="shared" si="15"/>
        <v>9</v>
      </c>
      <c r="K16" s="19">
        <f t="shared" si="15"/>
        <v>8</v>
      </c>
      <c r="L16" s="19">
        <f t="shared" ref="L16:S16" si="16">(MAX(L5:L10)-MIN(L5:L10))</f>
        <v>12</v>
      </c>
      <c r="M16" s="19">
        <f t="shared" si="16"/>
        <v>93</v>
      </c>
      <c r="N16" s="93">
        <f t="shared" si="16"/>
        <v>6</v>
      </c>
      <c r="O16" s="19">
        <f t="shared" si="16"/>
        <v>11</v>
      </c>
      <c r="P16" s="19">
        <f t="shared" si="16"/>
        <v>0.99685151508137659</v>
      </c>
      <c r="Q16" s="102">
        <f t="shared" si="16"/>
        <v>1.5</v>
      </c>
      <c r="R16" s="93">
        <f t="shared" si="16"/>
        <v>1.7507043740108488</v>
      </c>
      <c r="S16" s="19">
        <f t="shared" si="16"/>
        <v>2.8301886792452824E-2</v>
      </c>
      <c r="T16" s="19"/>
      <c r="U16" s="19"/>
      <c r="V16" s="19"/>
      <c r="W16" s="18"/>
      <c r="X16" s="121"/>
      <c r="Y16" s="122"/>
      <c r="Z16" s="123"/>
    </row>
    <row r="17" spans="6:26" ht="15.75" thickBot="1" x14ac:dyDescent="0.3">
      <c r="F17" s="124" t="s">
        <v>60</v>
      </c>
      <c r="G17" s="96">
        <f>(QUARTILE(G5:G10,3)-QUARTILE(G5:G10,1))/G13</f>
        <v>0.16176470588235295</v>
      </c>
      <c r="H17" s="96">
        <f t="shared" ref="H17:K17" si="17">(QUARTILE(H5:H10,3)-QUARTILE(H5:H10,1))/H13</f>
        <v>0.28813559322033899</v>
      </c>
      <c r="I17" s="96">
        <f t="shared" si="17"/>
        <v>3.5</v>
      </c>
      <c r="J17" s="96">
        <f t="shared" si="17"/>
        <v>0.22368421052631579</v>
      </c>
      <c r="K17" s="96">
        <f t="shared" si="17"/>
        <v>0.32142857142857145</v>
      </c>
      <c r="L17" s="96">
        <f t="shared" ref="L17:S17" si="18">(QUARTILE(L5:L10,3)-QUARTILE(L5:L10,1))/L13</f>
        <v>2.7777777777777776E-2</v>
      </c>
      <c r="M17" s="96">
        <f t="shared" si="18"/>
        <v>0.32703488372093026</v>
      </c>
      <c r="N17" s="96">
        <f t="shared" si="18"/>
        <v>0.16176470588235295</v>
      </c>
      <c r="O17" s="96">
        <f t="shared" si="18"/>
        <v>0.1875</v>
      </c>
      <c r="P17" s="96">
        <f t="shared" si="18"/>
        <v>0.44029850746268656</v>
      </c>
      <c r="Q17" s="103">
        <f t="shared" si="18"/>
        <v>0.16176470588235295</v>
      </c>
      <c r="R17" s="96">
        <f t="shared" si="18"/>
        <v>0.18750000000000003</v>
      </c>
      <c r="S17" s="96">
        <f t="shared" si="18"/>
        <v>2.1554054054054098E-2</v>
      </c>
      <c r="T17" s="96"/>
      <c r="U17" s="96"/>
      <c r="V17" s="96"/>
      <c r="W17" s="103"/>
      <c r="X17" s="125"/>
      <c r="Y17" s="125"/>
      <c r="Z17" s="97"/>
    </row>
  </sheetData>
  <mergeCells count="5">
    <mergeCell ref="B2:F3"/>
    <mergeCell ref="G2:O2"/>
    <mergeCell ref="G3:H3"/>
    <mergeCell ref="I3:O3"/>
    <mergeCell ref="P2:S3"/>
  </mergeCells>
  <conditionalFormatting sqref="G17:Z17">
    <cfRule type="cellIs" dxfId="27" priority="1" operator="greaterThan">
      <formula>1</formula>
    </cfRule>
    <cfRule type="cellIs" dxfId="26" priority="2" operator="between">
      <formula>0.6</formula>
      <formula>1</formula>
    </cfRule>
    <cfRule type="cellIs" dxfId="25" priority="3" operator="between">
      <formula>0.3</formula>
      <formula>0.6</formula>
    </cfRule>
    <cfRule type="cellIs" dxfId="24" priority="4" operator="lessThan">
      <formula>0.3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20"/>
  <sheetViews>
    <sheetView workbookViewId="0">
      <selection activeCell="D5" sqref="D5:F10"/>
    </sheetView>
  </sheetViews>
  <sheetFormatPr defaultRowHeight="15" x14ac:dyDescent="0.25"/>
  <sheetData>
    <row r="1" spans="2:19" ht="15.75" thickBot="1" x14ac:dyDescent="0.3"/>
    <row r="2" spans="2:19" ht="15.75" customHeight="1" thickBot="1" x14ac:dyDescent="0.3">
      <c r="B2" s="131" t="s">
        <v>54</v>
      </c>
      <c r="C2" s="153"/>
      <c r="D2" s="153"/>
      <c r="E2" s="153"/>
      <c r="F2" s="154"/>
      <c r="G2" s="157" t="s">
        <v>41</v>
      </c>
      <c r="H2" s="158"/>
      <c r="I2" s="158"/>
      <c r="J2" s="158"/>
      <c r="K2" s="158"/>
      <c r="L2" s="158"/>
      <c r="M2" s="158"/>
      <c r="N2" s="158"/>
      <c r="O2" s="159"/>
      <c r="P2" s="162" t="s">
        <v>42</v>
      </c>
      <c r="Q2" s="163"/>
      <c r="R2" s="163"/>
      <c r="S2" s="164"/>
    </row>
    <row r="3" spans="2:19" ht="15.75" thickBot="1" x14ac:dyDescent="0.3">
      <c r="B3" s="132"/>
      <c r="C3" s="155"/>
      <c r="D3" s="155"/>
      <c r="E3" s="155"/>
      <c r="F3" s="156"/>
      <c r="G3" s="160" t="s">
        <v>7</v>
      </c>
      <c r="H3" s="161"/>
      <c r="I3" s="157" t="s">
        <v>8</v>
      </c>
      <c r="J3" s="158"/>
      <c r="K3" s="158"/>
      <c r="L3" s="158"/>
      <c r="M3" s="158"/>
      <c r="N3" s="158"/>
      <c r="O3" s="159"/>
      <c r="P3" s="165"/>
      <c r="Q3" s="166"/>
      <c r="R3" s="166"/>
      <c r="S3" s="167"/>
    </row>
    <row r="4" spans="2:19" ht="15.75" thickBot="1" x14ac:dyDescent="0.3">
      <c r="B4" s="44" t="s">
        <v>44</v>
      </c>
      <c r="C4" s="45" t="s">
        <v>43</v>
      </c>
      <c r="D4" s="46" t="s">
        <v>45</v>
      </c>
      <c r="E4" s="46" t="s">
        <v>46</v>
      </c>
      <c r="F4" s="48" t="s">
        <v>47</v>
      </c>
      <c r="G4" s="46" t="s">
        <v>9</v>
      </c>
      <c r="H4" s="48" t="s">
        <v>48</v>
      </c>
      <c r="I4" s="46" t="s">
        <v>10</v>
      </c>
      <c r="J4" s="46" t="s">
        <v>11</v>
      </c>
      <c r="K4" s="46" t="s">
        <v>12</v>
      </c>
      <c r="L4" s="46" t="s">
        <v>8</v>
      </c>
      <c r="M4" s="48" t="s">
        <v>49</v>
      </c>
      <c r="N4" s="46" t="s">
        <v>13</v>
      </c>
      <c r="O4" s="48" t="s">
        <v>14</v>
      </c>
      <c r="P4" s="49" t="s">
        <v>15</v>
      </c>
      <c r="Q4" s="46" t="s">
        <v>50</v>
      </c>
      <c r="R4" s="46" t="s">
        <v>21</v>
      </c>
      <c r="S4" s="50" t="s">
        <v>17</v>
      </c>
    </row>
    <row r="5" spans="2:19" ht="15.75" thickTop="1" x14ac:dyDescent="0.25">
      <c r="B5" s="17" t="s">
        <v>18</v>
      </c>
      <c r="C5" s="18">
        <v>1</v>
      </c>
      <c r="D5" s="3">
        <v>4</v>
      </c>
      <c r="E5" s="3">
        <v>4</v>
      </c>
      <c r="F5" s="4">
        <v>4</v>
      </c>
      <c r="G5" s="19">
        <v>15</v>
      </c>
      <c r="H5" s="18">
        <v>22</v>
      </c>
      <c r="I5" s="19">
        <v>0</v>
      </c>
      <c r="J5" s="19">
        <v>20</v>
      </c>
      <c r="K5" s="19">
        <v>7</v>
      </c>
      <c r="L5" s="19">
        <f t="shared" ref="L5:L10" si="0">SUM(I5:K5)</f>
        <v>27</v>
      </c>
      <c r="M5" s="19">
        <f>(4*30)+57</f>
        <v>177</v>
      </c>
      <c r="N5" s="20">
        <f t="shared" ref="N5:N10" si="1">G5</f>
        <v>15</v>
      </c>
      <c r="O5" s="18">
        <f>I5+J5</f>
        <v>20</v>
      </c>
      <c r="P5" s="21">
        <f t="shared" ref="P5:P10" si="2">((PI()*C5)/2)*(N5/O5)</f>
        <v>1.1780972450961724</v>
      </c>
      <c r="Q5" s="22">
        <f t="shared" ref="Q5:Q10" si="3">N5/(4*C5)</f>
        <v>3.75</v>
      </c>
      <c r="R5" s="3">
        <f t="shared" ref="R5:R10" si="4">O5/(2*(PI())*(C5^2))</f>
        <v>3.183098861837907</v>
      </c>
      <c r="S5" s="23">
        <f t="shared" ref="S5:S10" si="5">((3*J5)+(4*K5))/(I5+(3*J5)+(4*K5))</f>
        <v>1</v>
      </c>
    </row>
    <row r="6" spans="2:19" x14ac:dyDescent="0.25">
      <c r="B6" s="17" t="s">
        <v>19</v>
      </c>
      <c r="C6" s="18">
        <v>1</v>
      </c>
      <c r="D6" s="3">
        <v>4</v>
      </c>
      <c r="E6" s="3">
        <v>4</v>
      </c>
      <c r="F6" s="4">
        <v>4</v>
      </c>
      <c r="G6" s="19">
        <v>23</v>
      </c>
      <c r="H6" s="18">
        <v>47</v>
      </c>
      <c r="I6" s="19">
        <v>8</v>
      </c>
      <c r="J6" s="19">
        <v>30</v>
      </c>
      <c r="K6" s="19">
        <v>0</v>
      </c>
      <c r="L6" s="19">
        <f t="shared" si="0"/>
        <v>38</v>
      </c>
      <c r="M6" s="19">
        <f>(4*60)+4</f>
        <v>244</v>
      </c>
      <c r="N6" s="20">
        <f t="shared" si="1"/>
        <v>23</v>
      </c>
      <c r="O6" s="18">
        <f t="shared" ref="O6:O10" si="6">I6+J6</f>
        <v>38</v>
      </c>
      <c r="P6" s="21">
        <f t="shared" si="2"/>
        <v>0.95074514516533215</v>
      </c>
      <c r="Q6" s="22">
        <f t="shared" si="3"/>
        <v>5.75</v>
      </c>
      <c r="R6" s="3">
        <f t="shared" si="4"/>
        <v>6.0478878374920226</v>
      </c>
      <c r="S6" s="23">
        <f t="shared" si="5"/>
        <v>0.91836734693877553</v>
      </c>
    </row>
    <row r="7" spans="2:19" x14ac:dyDescent="0.25">
      <c r="B7" s="17" t="s">
        <v>20</v>
      </c>
      <c r="C7" s="18">
        <v>1</v>
      </c>
      <c r="D7" s="3">
        <v>3</v>
      </c>
      <c r="E7" s="3">
        <v>3</v>
      </c>
      <c r="F7" s="4">
        <v>3</v>
      </c>
      <c r="G7" s="19">
        <v>22</v>
      </c>
      <c r="H7" s="18">
        <v>50</v>
      </c>
      <c r="I7" s="19">
        <v>15</v>
      </c>
      <c r="J7" s="19">
        <v>34</v>
      </c>
      <c r="K7" s="19">
        <v>2</v>
      </c>
      <c r="L7" s="22">
        <f t="shared" si="0"/>
        <v>51</v>
      </c>
      <c r="M7" s="22">
        <f>(4*60)+20</f>
        <v>260</v>
      </c>
      <c r="N7" s="51">
        <f t="shared" si="1"/>
        <v>22</v>
      </c>
      <c r="O7" s="18">
        <f t="shared" si="6"/>
        <v>49</v>
      </c>
      <c r="P7" s="21">
        <f t="shared" si="2"/>
        <v>0.70525549366301477</v>
      </c>
      <c r="Q7" s="22">
        <f t="shared" si="3"/>
        <v>5.5</v>
      </c>
      <c r="R7" s="3">
        <f t="shared" si="4"/>
        <v>7.7985922115028714</v>
      </c>
      <c r="S7" s="23">
        <f t="shared" si="5"/>
        <v>0.88</v>
      </c>
    </row>
    <row r="8" spans="2:19" x14ac:dyDescent="0.25">
      <c r="B8" s="17" t="s">
        <v>21</v>
      </c>
      <c r="C8" s="18">
        <v>1</v>
      </c>
      <c r="D8" s="3">
        <v>4</v>
      </c>
      <c r="E8" s="3">
        <v>4</v>
      </c>
      <c r="F8" s="4">
        <v>4</v>
      </c>
      <c r="G8" s="19">
        <v>21</v>
      </c>
      <c r="H8" s="18">
        <v>22</v>
      </c>
      <c r="I8" s="19">
        <v>15</v>
      </c>
      <c r="J8" s="19">
        <v>41</v>
      </c>
      <c r="K8" s="19">
        <v>2</v>
      </c>
      <c r="L8" s="22">
        <f t="shared" si="0"/>
        <v>58</v>
      </c>
      <c r="M8" s="22">
        <f>120+48</f>
        <v>168</v>
      </c>
      <c r="N8" s="51">
        <f t="shared" si="1"/>
        <v>21</v>
      </c>
      <c r="O8" s="18">
        <f t="shared" si="6"/>
        <v>56</v>
      </c>
      <c r="P8" s="21">
        <f t="shared" si="2"/>
        <v>0.58904862254808621</v>
      </c>
      <c r="Q8" s="22">
        <f t="shared" si="3"/>
        <v>5.25</v>
      </c>
      <c r="R8" s="3">
        <f t="shared" si="4"/>
        <v>8.91267681314614</v>
      </c>
      <c r="S8" s="23">
        <f t="shared" si="5"/>
        <v>0.89726027397260277</v>
      </c>
    </row>
    <row r="9" spans="2:19" x14ac:dyDescent="0.25">
      <c r="B9" s="17" t="s">
        <v>21</v>
      </c>
      <c r="C9" s="18">
        <v>1</v>
      </c>
      <c r="D9" s="3">
        <v>4</v>
      </c>
      <c r="E9" s="3">
        <v>4</v>
      </c>
      <c r="F9" s="4">
        <v>4</v>
      </c>
      <c r="G9" s="19">
        <v>22</v>
      </c>
      <c r="H9" s="18">
        <v>25</v>
      </c>
      <c r="I9" s="19">
        <v>13</v>
      </c>
      <c r="J9" s="19">
        <v>54</v>
      </c>
      <c r="K9" s="19">
        <v>0</v>
      </c>
      <c r="L9" s="22">
        <f t="shared" si="0"/>
        <v>67</v>
      </c>
      <c r="M9" s="22"/>
      <c r="N9" s="51">
        <f t="shared" si="1"/>
        <v>22</v>
      </c>
      <c r="O9" s="18">
        <f t="shared" si="6"/>
        <v>67</v>
      </c>
      <c r="P9" s="21">
        <f t="shared" si="2"/>
        <v>0.51578386849981683</v>
      </c>
      <c r="Q9" s="22">
        <f t="shared" si="3"/>
        <v>5.5</v>
      </c>
      <c r="R9" s="3">
        <f t="shared" si="4"/>
        <v>10.663381187156988</v>
      </c>
      <c r="S9" s="23">
        <f t="shared" si="5"/>
        <v>0.92571428571428571</v>
      </c>
    </row>
    <row r="10" spans="2:19" ht="15.75" thickBot="1" x14ac:dyDescent="0.3">
      <c r="B10" s="24" t="s">
        <v>22</v>
      </c>
      <c r="C10" s="25">
        <v>1</v>
      </c>
      <c r="D10" s="10">
        <v>3</v>
      </c>
      <c r="E10" s="10">
        <v>3</v>
      </c>
      <c r="F10" s="11">
        <v>3</v>
      </c>
      <c r="G10" s="26">
        <v>22</v>
      </c>
      <c r="H10" s="25">
        <v>47</v>
      </c>
      <c r="I10" s="26">
        <v>19</v>
      </c>
      <c r="J10" s="26">
        <v>50</v>
      </c>
      <c r="K10" s="26">
        <v>2</v>
      </c>
      <c r="L10" s="29">
        <f t="shared" si="0"/>
        <v>71</v>
      </c>
      <c r="M10" s="29">
        <v>358</v>
      </c>
      <c r="N10" s="52">
        <f t="shared" si="1"/>
        <v>22</v>
      </c>
      <c r="O10" s="25">
        <f t="shared" si="6"/>
        <v>69</v>
      </c>
      <c r="P10" s="28">
        <f t="shared" si="2"/>
        <v>0.50083361144185101</v>
      </c>
      <c r="Q10" s="29">
        <f t="shared" si="3"/>
        <v>5.5</v>
      </c>
      <c r="R10" s="10">
        <f t="shared" si="4"/>
        <v>10.981691073340778</v>
      </c>
      <c r="S10" s="30">
        <f t="shared" si="5"/>
        <v>0.89265536723163841</v>
      </c>
    </row>
    <row r="11" spans="2:19" x14ac:dyDescent="0.25">
      <c r="F11" s="168" t="s">
        <v>52</v>
      </c>
      <c r="G11" s="57">
        <v>22</v>
      </c>
      <c r="H11" s="58">
        <v>42</v>
      </c>
      <c r="L11" s="15"/>
      <c r="M11" s="15"/>
      <c r="N11" s="22"/>
    </row>
    <row r="12" spans="2:19" ht="15.75" thickBot="1" x14ac:dyDescent="0.3">
      <c r="F12" s="169"/>
      <c r="G12" s="29">
        <v>20</v>
      </c>
      <c r="H12" s="59">
        <v>23</v>
      </c>
      <c r="L12" s="15"/>
      <c r="M12" s="15"/>
      <c r="N12" s="22"/>
    </row>
    <row r="13" spans="2:19" x14ac:dyDescent="0.25">
      <c r="L13" s="15"/>
      <c r="M13" s="15"/>
      <c r="N13" s="22"/>
    </row>
    <row r="14" spans="2:19" ht="15.75" thickBot="1" x14ac:dyDescent="0.3">
      <c r="L14" s="15"/>
      <c r="M14" s="15"/>
      <c r="N14" s="15"/>
    </row>
    <row r="15" spans="2:19" x14ac:dyDescent="0.25">
      <c r="F15" s="114" t="s">
        <v>57</v>
      </c>
      <c r="G15" s="115">
        <f>AVERAGE(G5:G12)</f>
        <v>20.875</v>
      </c>
      <c r="H15" s="115">
        <f t="shared" ref="H15:S15" si="7">AVERAGE(H5:H12)</f>
        <v>34.75</v>
      </c>
      <c r="I15" s="115">
        <f t="shared" si="7"/>
        <v>11.666666666666666</v>
      </c>
      <c r="J15" s="115">
        <f t="shared" si="7"/>
        <v>38.166666666666664</v>
      </c>
      <c r="K15" s="115">
        <f t="shared" si="7"/>
        <v>2.1666666666666665</v>
      </c>
      <c r="L15" s="115">
        <f t="shared" si="7"/>
        <v>52</v>
      </c>
      <c r="M15" s="115">
        <f t="shared" si="7"/>
        <v>241.4</v>
      </c>
      <c r="N15" s="115">
        <f t="shared" si="7"/>
        <v>20.833333333333332</v>
      </c>
      <c r="O15" s="115">
        <f t="shared" si="7"/>
        <v>49.833333333333336</v>
      </c>
      <c r="P15" s="115">
        <f t="shared" si="7"/>
        <v>0.73996066440237884</v>
      </c>
      <c r="Q15" s="115">
        <f t="shared" si="7"/>
        <v>5.208333333333333</v>
      </c>
      <c r="R15" s="115">
        <f t="shared" si="7"/>
        <v>7.9312213307461166</v>
      </c>
      <c r="S15" s="115">
        <f t="shared" si="7"/>
        <v>0.91899954564288378</v>
      </c>
    </row>
    <row r="16" spans="2:19" x14ac:dyDescent="0.25">
      <c r="F16" s="120" t="s">
        <v>58</v>
      </c>
      <c r="G16" s="93">
        <f>MEDIAN(G5:G12)</f>
        <v>22</v>
      </c>
      <c r="H16" s="93">
        <f t="shared" ref="H16:S16" si="8">MEDIAN(H5:H12)</f>
        <v>33.5</v>
      </c>
      <c r="I16" s="93">
        <f t="shared" si="8"/>
        <v>14</v>
      </c>
      <c r="J16" s="93">
        <f t="shared" si="8"/>
        <v>37.5</v>
      </c>
      <c r="K16" s="93">
        <f t="shared" si="8"/>
        <v>2</v>
      </c>
      <c r="L16" s="93">
        <f t="shared" si="8"/>
        <v>54.5</v>
      </c>
      <c r="M16" s="93">
        <f t="shared" si="8"/>
        <v>244</v>
      </c>
      <c r="N16" s="93">
        <f t="shared" si="8"/>
        <v>22</v>
      </c>
      <c r="O16" s="93">
        <f t="shared" si="8"/>
        <v>52.5</v>
      </c>
      <c r="P16" s="93">
        <f t="shared" si="8"/>
        <v>0.64715205810555054</v>
      </c>
      <c r="Q16" s="93">
        <f t="shared" si="8"/>
        <v>5.5</v>
      </c>
      <c r="R16" s="93">
        <f t="shared" si="8"/>
        <v>8.3556345123245066</v>
      </c>
      <c r="S16" s="93">
        <f t="shared" si="8"/>
        <v>0.90781381045568921</v>
      </c>
    </row>
    <row r="17" spans="6:19" x14ac:dyDescent="0.25">
      <c r="F17" s="120" t="s">
        <v>35</v>
      </c>
      <c r="G17" s="93">
        <f>MIN(G5:G12)</f>
        <v>15</v>
      </c>
      <c r="H17" s="93">
        <f t="shared" ref="H17:S17" si="9">MIN(H5:H12)</f>
        <v>22</v>
      </c>
      <c r="I17" s="93">
        <f t="shared" si="9"/>
        <v>0</v>
      </c>
      <c r="J17" s="93">
        <f t="shared" si="9"/>
        <v>20</v>
      </c>
      <c r="K17" s="93">
        <f t="shared" si="9"/>
        <v>0</v>
      </c>
      <c r="L17" s="93">
        <f t="shared" si="9"/>
        <v>27</v>
      </c>
      <c r="M17" s="93">
        <f t="shared" si="9"/>
        <v>168</v>
      </c>
      <c r="N17" s="93">
        <f t="shared" si="9"/>
        <v>15</v>
      </c>
      <c r="O17" s="93">
        <f t="shared" si="9"/>
        <v>20</v>
      </c>
      <c r="P17" s="93">
        <f t="shared" si="9"/>
        <v>0.50083361144185101</v>
      </c>
      <c r="Q17" s="93">
        <f t="shared" si="9"/>
        <v>3.75</v>
      </c>
      <c r="R17" s="93">
        <f t="shared" si="9"/>
        <v>3.183098861837907</v>
      </c>
      <c r="S17" s="93">
        <f t="shared" si="9"/>
        <v>0.88</v>
      </c>
    </row>
    <row r="18" spans="6:19" x14ac:dyDescent="0.25">
      <c r="F18" s="120" t="s">
        <v>36</v>
      </c>
      <c r="G18" s="93">
        <f>MAX(G5:G12)</f>
        <v>23</v>
      </c>
      <c r="H18" s="93">
        <f t="shared" ref="H18:S18" si="10">MAX(H5:H12)</f>
        <v>50</v>
      </c>
      <c r="I18" s="93">
        <f t="shared" si="10"/>
        <v>19</v>
      </c>
      <c r="J18" s="93">
        <f t="shared" si="10"/>
        <v>54</v>
      </c>
      <c r="K18" s="93">
        <f t="shared" si="10"/>
        <v>7</v>
      </c>
      <c r="L18" s="93">
        <f t="shared" si="10"/>
        <v>71</v>
      </c>
      <c r="M18" s="93">
        <f t="shared" si="10"/>
        <v>358</v>
      </c>
      <c r="N18" s="93">
        <f t="shared" si="10"/>
        <v>23</v>
      </c>
      <c r="O18" s="93">
        <f t="shared" si="10"/>
        <v>69</v>
      </c>
      <c r="P18" s="93">
        <f t="shared" si="10"/>
        <v>1.1780972450961724</v>
      </c>
      <c r="Q18" s="93">
        <f t="shared" si="10"/>
        <v>5.75</v>
      </c>
      <c r="R18" s="93">
        <f t="shared" si="10"/>
        <v>10.981691073340778</v>
      </c>
      <c r="S18" s="93">
        <f t="shared" si="10"/>
        <v>1</v>
      </c>
    </row>
    <row r="19" spans="6:19" x14ac:dyDescent="0.25">
      <c r="F19" s="120" t="s">
        <v>59</v>
      </c>
      <c r="G19" s="19">
        <f>(MAX(G5:G12)-MIN(G5:G12))</f>
        <v>8</v>
      </c>
      <c r="H19" s="19">
        <f t="shared" ref="H19:S19" si="11">(MAX(H5:H12)-MIN(H5:H12))</f>
        <v>28</v>
      </c>
      <c r="I19" s="19">
        <f t="shared" si="11"/>
        <v>19</v>
      </c>
      <c r="J19" s="19">
        <f t="shared" si="11"/>
        <v>34</v>
      </c>
      <c r="K19" s="19">
        <f t="shared" si="11"/>
        <v>7</v>
      </c>
      <c r="L19" s="19">
        <f t="shared" si="11"/>
        <v>44</v>
      </c>
      <c r="M19" s="19">
        <f t="shared" si="11"/>
        <v>190</v>
      </c>
      <c r="N19" s="19">
        <f t="shared" si="11"/>
        <v>8</v>
      </c>
      <c r="O19" s="19">
        <f t="shared" si="11"/>
        <v>49</v>
      </c>
      <c r="P19" s="19">
        <f t="shared" si="11"/>
        <v>0.67726363365432141</v>
      </c>
      <c r="Q19" s="19">
        <f t="shared" si="11"/>
        <v>2</v>
      </c>
      <c r="R19" s="19">
        <f t="shared" si="11"/>
        <v>7.7985922115028714</v>
      </c>
      <c r="S19" s="19">
        <f t="shared" si="11"/>
        <v>0.12</v>
      </c>
    </row>
    <row r="20" spans="6:19" ht="15.75" thickBot="1" x14ac:dyDescent="0.3">
      <c r="F20" s="124" t="s">
        <v>60</v>
      </c>
      <c r="G20" s="96">
        <f>(QUARTILE(G5:G12,3)-QUARTILE(G5:G12,1))/G16</f>
        <v>5.6818181818181816E-2</v>
      </c>
      <c r="H20" s="96">
        <f t="shared" ref="H20:S20" si="12">(QUARTILE(H5:H12,3)-QUARTILE(H5:H12,1))/H16</f>
        <v>0.72388059701492535</v>
      </c>
      <c r="I20" s="96">
        <f t="shared" si="12"/>
        <v>0.4107142857142857</v>
      </c>
      <c r="J20" s="96">
        <f t="shared" si="12"/>
        <v>0.44666666666666666</v>
      </c>
      <c r="K20" s="96">
        <f t="shared" si="12"/>
        <v>0.75</v>
      </c>
      <c r="L20" s="96">
        <f t="shared" si="12"/>
        <v>0.43119266055045874</v>
      </c>
      <c r="M20" s="96">
        <f t="shared" si="12"/>
        <v>0.3401639344262295</v>
      </c>
      <c r="N20" s="96">
        <f t="shared" si="12"/>
        <v>3.4090909090909088E-2</v>
      </c>
      <c r="O20" s="96">
        <f t="shared" si="12"/>
        <v>0.44761904761904764</v>
      </c>
      <c r="P20" s="96">
        <f t="shared" si="12"/>
        <v>0.54897866865768918</v>
      </c>
      <c r="Q20" s="96">
        <f t="shared" si="12"/>
        <v>3.4090909090909088E-2</v>
      </c>
      <c r="R20" s="96">
        <f t="shared" si="12"/>
        <v>0.44761904761904775</v>
      </c>
      <c r="S20" s="96">
        <f t="shared" si="12"/>
        <v>3.3124586514534371E-2</v>
      </c>
    </row>
  </sheetData>
  <mergeCells count="6">
    <mergeCell ref="P2:S3"/>
    <mergeCell ref="F11:F12"/>
    <mergeCell ref="G3:H3"/>
    <mergeCell ref="I3:O3"/>
    <mergeCell ref="B2:F3"/>
    <mergeCell ref="G2:O2"/>
  </mergeCells>
  <conditionalFormatting sqref="G20:S20">
    <cfRule type="cellIs" dxfId="23" priority="1" operator="greaterThan">
      <formula>1</formula>
    </cfRule>
    <cfRule type="cellIs" dxfId="22" priority="2" operator="between">
      <formula>0.6</formula>
      <formula>1</formula>
    </cfRule>
    <cfRule type="cellIs" dxfId="21" priority="3" operator="between">
      <formula>0.3</formula>
      <formula>0.6</formula>
    </cfRule>
    <cfRule type="cellIs" dxfId="20" priority="4" operator="lessThan">
      <formula>0.3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21"/>
  <sheetViews>
    <sheetView workbookViewId="0">
      <selection activeCell="D5" sqref="D5:F9"/>
    </sheetView>
  </sheetViews>
  <sheetFormatPr defaultRowHeight="15" x14ac:dyDescent="0.25"/>
  <sheetData>
    <row r="1" spans="2:19" ht="15.75" thickBot="1" x14ac:dyDescent="0.3"/>
    <row r="2" spans="2:19" ht="15.75" customHeight="1" thickBot="1" x14ac:dyDescent="0.3">
      <c r="B2" s="131" t="s">
        <v>54</v>
      </c>
      <c r="C2" s="153"/>
      <c r="D2" s="153"/>
      <c r="E2" s="153"/>
      <c r="F2" s="154"/>
      <c r="G2" s="157" t="s">
        <v>41</v>
      </c>
      <c r="H2" s="158"/>
      <c r="I2" s="158"/>
      <c r="J2" s="158"/>
      <c r="K2" s="158"/>
      <c r="L2" s="158"/>
      <c r="M2" s="158"/>
      <c r="N2" s="158"/>
      <c r="O2" s="159"/>
      <c r="P2" s="162" t="s">
        <v>42</v>
      </c>
      <c r="Q2" s="163"/>
      <c r="R2" s="163"/>
      <c r="S2" s="164"/>
    </row>
    <row r="3" spans="2:19" ht="15.75" thickBot="1" x14ac:dyDescent="0.3">
      <c r="B3" s="132"/>
      <c r="C3" s="155"/>
      <c r="D3" s="155"/>
      <c r="E3" s="155"/>
      <c r="F3" s="156"/>
      <c r="G3" s="160" t="s">
        <v>7</v>
      </c>
      <c r="H3" s="161"/>
      <c r="I3" s="157" t="s">
        <v>8</v>
      </c>
      <c r="J3" s="158"/>
      <c r="K3" s="158"/>
      <c r="L3" s="158"/>
      <c r="M3" s="158"/>
      <c r="N3" s="158"/>
      <c r="O3" s="159"/>
      <c r="P3" s="165"/>
      <c r="Q3" s="166"/>
      <c r="R3" s="166"/>
      <c r="S3" s="167"/>
    </row>
    <row r="4" spans="2:19" ht="15.75" thickBot="1" x14ac:dyDescent="0.3">
      <c r="B4" s="44" t="s">
        <v>44</v>
      </c>
      <c r="C4" s="45" t="s">
        <v>43</v>
      </c>
      <c r="D4" s="46" t="s">
        <v>45</v>
      </c>
      <c r="E4" s="46" t="s">
        <v>46</v>
      </c>
      <c r="F4" s="48" t="s">
        <v>47</v>
      </c>
      <c r="G4" s="46" t="s">
        <v>9</v>
      </c>
      <c r="H4" s="48" t="s">
        <v>48</v>
      </c>
      <c r="I4" s="46" t="s">
        <v>10</v>
      </c>
      <c r="J4" s="46" t="s">
        <v>11</v>
      </c>
      <c r="K4" s="46" t="s">
        <v>12</v>
      </c>
      <c r="L4" s="46" t="s">
        <v>8</v>
      </c>
      <c r="M4" s="48" t="s">
        <v>49</v>
      </c>
      <c r="N4" s="46" t="s">
        <v>13</v>
      </c>
      <c r="O4" s="48" t="s">
        <v>14</v>
      </c>
      <c r="P4" s="49" t="s">
        <v>15</v>
      </c>
      <c r="Q4" s="46" t="s">
        <v>50</v>
      </c>
      <c r="R4" s="46" t="s">
        <v>21</v>
      </c>
      <c r="S4" s="50" t="s">
        <v>17</v>
      </c>
    </row>
    <row r="5" spans="2:19" ht="15.75" thickTop="1" x14ac:dyDescent="0.25">
      <c r="B5" s="31" t="s">
        <v>18</v>
      </c>
      <c r="C5" s="2">
        <v>1</v>
      </c>
      <c r="D5" s="3">
        <v>4</v>
      </c>
      <c r="E5" s="3">
        <v>4</v>
      </c>
      <c r="F5" s="4">
        <v>4</v>
      </c>
      <c r="G5" s="3">
        <v>22</v>
      </c>
      <c r="H5" s="4">
        <v>36</v>
      </c>
      <c r="I5" s="32">
        <v>7</v>
      </c>
      <c r="J5" s="3">
        <v>29</v>
      </c>
      <c r="K5" s="3">
        <v>11</v>
      </c>
      <c r="L5" s="3">
        <f>SUM(I5:K5)</f>
        <v>47</v>
      </c>
      <c r="M5" s="4">
        <f>(4*60)+42</f>
        <v>282</v>
      </c>
      <c r="N5" s="32">
        <f>G5</f>
        <v>22</v>
      </c>
      <c r="O5" s="4">
        <f>I5+J5</f>
        <v>36</v>
      </c>
      <c r="P5" s="5">
        <f>((PI()*C5)/2)*(N5/O5)</f>
        <v>0.95993108859688125</v>
      </c>
      <c r="Q5" s="3">
        <f>N5/(4*C5)</f>
        <v>5.5</v>
      </c>
      <c r="R5" s="3">
        <f>O5/(2*(PI())*(C5^2))</f>
        <v>5.7295779513082321</v>
      </c>
      <c r="S5" s="7">
        <f>((3*J5)+(4*K5))/(I5+(3*J5)+(4*K5))</f>
        <v>0.94927536231884058</v>
      </c>
    </row>
    <row r="6" spans="2:19" x14ac:dyDescent="0.25">
      <c r="B6" s="31" t="s">
        <v>19</v>
      </c>
      <c r="C6" s="2">
        <v>1</v>
      </c>
      <c r="D6" s="3">
        <v>4</v>
      </c>
      <c r="E6" s="3">
        <v>4</v>
      </c>
      <c r="F6" s="4">
        <v>4</v>
      </c>
      <c r="G6" s="3">
        <v>30</v>
      </c>
      <c r="H6" s="4">
        <v>58</v>
      </c>
      <c r="I6" s="32">
        <v>14</v>
      </c>
      <c r="J6" s="3">
        <v>33</v>
      </c>
      <c r="K6" s="3">
        <v>8</v>
      </c>
      <c r="L6" s="3">
        <f t="shared" ref="L6:L9" si="0">SUM(I6:K6)</f>
        <v>55</v>
      </c>
      <c r="M6" s="4">
        <f>(3*60)+59</f>
        <v>239</v>
      </c>
      <c r="N6" s="32">
        <f>G6</f>
        <v>30</v>
      </c>
      <c r="O6" s="4">
        <f t="shared" ref="O6:O9" si="1">I6+J6</f>
        <v>47</v>
      </c>
      <c r="P6" s="5">
        <f>((PI()*C6)/2)*(N6/O6)</f>
        <v>1.0026359532733382</v>
      </c>
      <c r="Q6" s="3">
        <f>N6/(4*C6)</f>
        <v>7.5</v>
      </c>
      <c r="R6" s="3">
        <f>O6/(2*(PI())*(C6^2))</f>
        <v>7.4802823253190809</v>
      </c>
      <c r="S6" s="7">
        <f>((3*J6)+(4*K6))/(I6+(3*J6)+(4*K6))</f>
        <v>0.90344827586206899</v>
      </c>
    </row>
    <row r="7" spans="2:19" x14ac:dyDescent="0.25">
      <c r="B7" s="31" t="s">
        <v>20</v>
      </c>
      <c r="C7" s="2">
        <v>1</v>
      </c>
      <c r="D7" s="3">
        <v>3</v>
      </c>
      <c r="E7" s="3">
        <v>3</v>
      </c>
      <c r="F7" s="4">
        <v>3</v>
      </c>
      <c r="G7" s="3">
        <v>19</v>
      </c>
      <c r="H7" s="4">
        <v>41</v>
      </c>
      <c r="I7" s="32">
        <v>3</v>
      </c>
      <c r="J7" s="3">
        <v>21</v>
      </c>
      <c r="K7" s="3">
        <v>6</v>
      </c>
      <c r="L7" s="3">
        <f t="shared" si="0"/>
        <v>30</v>
      </c>
      <c r="M7" s="4">
        <v>278</v>
      </c>
      <c r="N7" s="32">
        <f>G7</f>
        <v>19</v>
      </c>
      <c r="O7" s="4">
        <f t="shared" si="1"/>
        <v>24</v>
      </c>
      <c r="P7" s="5">
        <f>((PI()*C7)/2)*(N7/O7)</f>
        <v>1.2435470920459597</v>
      </c>
      <c r="Q7" s="3">
        <f>N7/(4*C7)</f>
        <v>4.75</v>
      </c>
      <c r="R7" s="3">
        <f>O7/(2*(PI())*(C7^2))</f>
        <v>3.8197186342054881</v>
      </c>
      <c r="S7" s="7">
        <f>((3*J7)+(4*K7))/(I7+(3*J7)+(4*K7))</f>
        <v>0.96666666666666667</v>
      </c>
    </row>
    <row r="8" spans="2:19" x14ac:dyDescent="0.25">
      <c r="B8" s="31" t="s">
        <v>21</v>
      </c>
      <c r="C8" s="2">
        <v>1</v>
      </c>
      <c r="D8" s="3">
        <v>4</v>
      </c>
      <c r="E8" s="3">
        <v>4</v>
      </c>
      <c r="F8" s="4">
        <v>4</v>
      </c>
      <c r="G8" s="3">
        <v>21</v>
      </c>
      <c r="H8" s="4">
        <v>24</v>
      </c>
      <c r="I8" s="32">
        <v>7</v>
      </c>
      <c r="J8" s="3">
        <v>33</v>
      </c>
      <c r="K8" s="3">
        <v>7</v>
      </c>
      <c r="L8" s="3">
        <f t="shared" si="0"/>
        <v>47</v>
      </c>
      <c r="M8" s="4">
        <f>(2*60)+42</f>
        <v>162</v>
      </c>
      <c r="N8" s="32">
        <f>G8</f>
        <v>21</v>
      </c>
      <c r="O8" s="4">
        <f t="shared" si="1"/>
        <v>40</v>
      </c>
      <c r="P8" s="5">
        <f>((PI()*C8)/2)*(N8/O8)</f>
        <v>0.82466807156732069</v>
      </c>
      <c r="Q8" s="3">
        <f>N8/(4*C8)</f>
        <v>5.25</v>
      </c>
      <c r="R8" s="3">
        <f>O8/(2*(PI())*(C8^2))</f>
        <v>6.366197723675814</v>
      </c>
      <c r="S8" s="7">
        <f>((3*J8)+(4*K8))/(I8+(3*J8)+(4*K8))</f>
        <v>0.94776119402985071</v>
      </c>
    </row>
    <row r="9" spans="2:19" ht="15.75" thickBot="1" x14ac:dyDescent="0.3">
      <c r="B9" s="33" t="s">
        <v>22</v>
      </c>
      <c r="C9" s="9">
        <v>1</v>
      </c>
      <c r="D9" s="10">
        <v>3</v>
      </c>
      <c r="E9" s="10">
        <v>3</v>
      </c>
      <c r="F9" s="11">
        <v>3</v>
      </c>
      <c r="G9" s="3">
        <v>23</v>
      </c>
      <c r="H9" s="4">
        <v>57</v>
      </c>
      <c r="I9" s="34">
        <v>15</v>
      </c>
      <c r="J9" s="10">
        <v>26</v>
      </c>
      <c r="K9" s="10">
        <v>16</v>
      </c>
      <c r="L9" s="10">
        <f t="shared" si="0"/>
        <v>57</v>
      </c>
      <c r="M9" s="11">
        <v>261</v>
      </c>
      <c r="N9" s="34">
        <f>G9</f>
        <v>23</v>
      </c>
      <c r="O9" s="11">
        <f t="shared" si="1"/>
        <v>41</v>
      </c>
      <c r="P9" s="12">
        <f>((PI()*C9)/2)*(N9/O9)</f>
        <v>0.88117842722640549</v>
      </c>
      <c r="Q9" s="10">
        <f>N9/(4*C9)</f>
        <v>5.75</v>
      </c>
      <c r="R9" s="10">
        <f>O9/(2*(PI())*(C9^2))</f>
        <v>6.5253526667677093</v>
      </c>
      <c r="S9" s="14">
        <f>((3*J9)+(4*K9))/(I9+(3*J9)+(4*K9))</f>
        <v>0.90445859872611467</v>
      </c>
    </row>
    <row r="10" spans="2:19" x14ac:dyDescent="0.25">
      <c r="F10" s="168" t="s">
        <v>52</v>
      </c>
      <c r="G10" s="62">
        <v>22</v>
      </c>
      <c r="H10" s="63">
        <v>48</v>
      </c>
    </row>
    <row r="11" spans="2:19" x14ac:dyDescent="0.25">
      <c r="F11" s="170"/>
      <c r="G11" s="60">
        <v>24</v>
      </c>
      <c r="H11" s="64"/>
    </row>
    <row r="12" spans="2:19" x14ac:dyDescent="0.25">
      <c r="F12" s="170"/>
      <c r="G12" s="60">
        <v>22</v>
      </c>
      <c r="H12" s="65">
        <v>20</v>
      </c>
    </row>
    <row r="13" spans="2:19" ht="15.75" thickBot="1" x14ac:dyDescent="0.3">
      <c r="F13" s="169"/>
      <c r="G13" s="61">
        <v>22</v>
      </c>
      <c r="H13" s="66">
        <v>24</v>
      </c>
    </row>
    <row r="15" spans="2:19" ht="15.75" thickBot="1" x14ac:dyDescent="0.3"/>
    <row r="16" spans="2:19" x14ac:dyDescent="0.25">
      <c r="F16" s="114" t="s">
        <v>57</v>
      </c>
      <c r="G16" s="115">
        <f>AVERAGE(G5:G13)</f>
        <v>22.777777777777779</v>
      </c>
      <c r="H16" s="115">
        <f t="shared" ref="H16:S16" si="2">AVERAGE(H5:H13)</f>
        <v>38.5</v>
      </c>
      <c r="I16" s="115">
        <f t="shared" si="2"/>
        <v>9.1999999999999993</v>
      </c>
      <c r="J16" s="115">
        <f t="shared" si="2"/>
        <v>28.4</v>
      </c>
      <c r="K16" s="115">
        <f t="shared" si="2"/>
        <v>9.6</v>
      </c>
      <c r="L16" s="115">
        <f t="shared" si="2"/>
        <v>47.2</v>
      </c>
      <c r="M16" s="115">
        <f t="shared" si="2"/>
        <v>244.4</v>
      </c>
      <c r="N16" s="115">
        <f t="shared" si="2"/>
        <v>23</v>
      </c>
      <c r="O16" s="115">
        <f t="shared" si="2"/>
        <v>37.6</v>
      </c>
      <c r="P16" s="115">
        <f t="shared" si="2"/>
        <v>0.98239212654198105</v>
      </c>
      <c r="Q16" s="115">
        <f t="shared" si="2"/>
        <v>5.75</v>
      </c>
      <c r="R16" s="115">
        <f t="shared" si="2"/>
        <v>5.9842258602552656</v>
      </c>
      <c r="S16" s="115">
        <f t="shared" si="2"/>
        <v>0.93432201952070826</v>
      </c>
    </row>
    <row r="17" spans="6:19" x14ac:dyDescent="0.25">
      <c r="F17" s="120" t="s">
        <v>58</v>
      </c>
      <c r="G17" s="93">
        <f>MEDIAN(G5:G13)</f>
        <v>22</v>
      </c>
      <c r="H17" s="93">
        <f t="shared" ref="H17:S17" si="3">MEDIAN(H5:H13)</f>
        <v>38.5</v>
      </c>
      <c r="I17" s="93">
        <f t="shared" si="3"/>
        <v>7</v>
      </c>
      <c r="J17" s="93">
        <f t="shared" si="3"/>
        <v>29</v>
      </c>
      <c r="K17" s="93">
        <f t="shared" si="3"/>
        <v>8</v>
      </c>
      <c r="L17" s="93">
        <f t="shared" si="3"/>
        <v>47</v>
      </c>
      <c r="M17" s="93">
        <f t="shared" si="3"/>
        <v>261</v>
      </c>
      <c r="N17" s="93">
        <f t="shared" si="3"/>
        <v>22</v>
      </c>
      <c r="O17" s="93">
        <f t="shared" si="3"/>
        <v>40</v>
      </c>
      <c r="P17" s="93">
        <f t="shared" si="3"/>
        <v>0.95993108859688125</v>
      </c>
      <c r="Q17" s="93">
        <f t="shared" si="3"/>
        <v>5.5</v>
      </c>
      <c r="R17" s="93">
        <f t="shared" si="3"/>
        <v>6.366197723675814</v>
      </c>
      <c r="S17" s="93">
        <f t="shared" si="3"/>
        <v>0.94776119402985071</v>
      </c>
    </row>
    <row r="18" spans="6:19" x14ac:dyDescent="0.25">
      <c r="F18" s="120" t="s">
        <v>35</v>
      </c>
      <c r="G18" s="93">
        <f>MIN(G5:G13)</f>
        <v>19</v>
      </c>
      <c r="H18" s="93">
        <f t="shared" ref="H18:S18" si="4">MIN(H5:H13)</f>
        <v>20</v>
      </c>
      <c r="I18" s="93">
        <f t="shared" si="4"/>
        <v>3</v>
      </c>
      <c r="J18" s="93">
        <f t="shared" si="4"/>
        <v>21</v>
      </c>
      <c r="K18" s="93">
        <f t="shared" si="4"/>
        <v>6</v>
      </c>
      <c r="L18" s="93">
        <f t="shared" si="4"/>
        <v>30</v>
      </c>
      <c r="M18" s="93">
        <f t="shared" si="4"/>
        <v>162</v>
      </c>
      <c r="N18" s="93">
        <f t="shared" si="4"/>
        <v>19</v>
      </c>
      <c r="O18" s="93">
        <f t="shared" si="4"/>
        <v>24</v>
      </c>
      <c r="P18" s="93">
        <f t="shared" si="4"/>
        <v>0.82466807156732069</v>
      </c>
      <c r="Q18" s="93">
        <f t="shared" si="4"/>
        <v>4.75</v>
      </c>
      <c r="R18" s="93">
        <f t="shared" si="4"/>
        <v>3.8197186342054881</v>
      </c>
      <c r="S18" s="93">
        <f t="shared" si="4"/>
        <v>0.90344827586206899</v>
      </c>
    </row>
    <row r="19" spans="6:19" x14ac:dyDescent="0.25">
      <c r="F19" s="120" t="s">
        <v>36</v>
      </c>
      <c r="G19" s="93">
        <f>MAX(G5:G13)</f>
        <v>30</v>
      </c>
      <c r="H19" s="93">
        <f t="shared" ref="H19:S19" si="5">MAX(H5:H13)</f>
        <v>58</v>
      </c>
      <c r="I19" s="93">
        <f t="shared" si="5"/>
        <v>15</v>
      </c>
      <c r="J19" s="93">
        <f t="shared" si="5"/>
        <v>33</v>
      </c>
      <c r="K19" s="93">
        <f t="shared" si="5"/>
        <v>16</v>
      </c>
      <c r="L19" s="93">
        <f t="shared" si="5"/>
        <v>57</v>
      </c>
      <c r="M19" s="93">
        <f t="shared" si="5"/>
        <v>282</v>
      </c>
      <c r="N19" s="93">
        <f t="shared" si="5"/>
        <v>30</v>
      </c>
      <c r="O19" s="93">
        <f t="shared" si="5"/>
        <v>47</v>
      </c>
      <c r="P19" s="93">
        <f t="shared" si="5"/>
        <v>1.2435470920459597</v>
      </c>
      <c r="Q19" s="93">
        <f t="shared" si="5"/>
        <v>7.5</v>
      </c>
      <c r="R19" s="93">
        <f t="shared" si="5"/>
        <v>7.4802823253190809</v>
      </c>
      <c r="S19" s="93">
        <f t="shared" si="5"/>
        <v>0.96666666666666667</v>
      </c>
    </row>
    <row r="20" spans="6:19" x14ac:dyDescent="0.25">
      <c r="F20" s="120" t="s">
        <v>59</v>
      </c>
      <c r="G20" s="19">
        <f>(MAX(G5:G13)-MIN(G5:G13))</f>
        <v>11</v>
      </c>
      <c r="H20" s="19">
        <f t="shared" ref="H20:S20" si="6">(MAX(H5:H13)-MIN(H5:H13))</f>
        <v>38</v>
      </c>
      <c r="I20" s="19">
        <f t="shared" si="6"/>
        <v>12</v>
      </c>
      <c r="J20" s="19">
        <f t="shared" si="6"/>
        <v>12</v>
      </c>
      <c r="K20" s="19">
        <f t="shared" si="6"/>
        <v>10</v>
      </c>
      <c r="L20" s="19">
        <f t="shared" si="6"/>
        <v>27</v>
      </c>
      <c r="M20" s="19">
        <f t="shared" si="6"/>
        <v>120</v>
      </c>
      <c r="N20" s="19">
        <f t="shared" si="6"/>
        <v>11</v>
      </c>
      <c r="O20" s="19">
        <f t="shared" si="6"/>
        <v>23</v>
      </c>
      <c r="P20" s="19">
        <f t="shared" si="6"/>
        <v>0.41887902047863901</v>
      </c>
      <c r="Q20" s="19">
        <f t="shared" si="6"/>
        <v>2.75</v>
      </c>
      <c r="R20" s="19">
        <f t="shared" si="6"/>
        <v>3.6605636911135928</v>
      </c>
      <c r="S20" s="19">
        <f t="shared" si="6"/>
        <v>6.3218390804597679E-2</v>
      </c>
    </row>
    <row r="21" spans="6:19" ht="15.75" thickBot="1" x14ac:dyDescent="0.3">
      <c r="F21" s="124" t="s">
        <v>60</v>
      </c>
      <c r="G21" s="96">
        <f>(QUARTILE(G5:G13,3)-QUARTILE(G5:G13,1))/G17</f>
        <v>4.5454545454545456E-2</v>
      </c>
      <c r="H21" s="96">
        <f t="shared" ref="H21:S21" si="7">(QUARTILE(H5:H13,3)-QUARTILE(H5:H13,1))/H17</f>
        <v>0.68181818181818177</v>
      </c>
      <c r="I21" s="96">
        <f t="shared" si="7"/>
        <v>1</v>
      </c>
      <c r="J21" s="96">
        <f t="shared" si="7"/>
        <v>0.2413793103448276</v>
      </c>
      <c r="K21" s="96">
        <f t="shared" si="7"/>
        <v>0.5</v>
      </c>
      <c r="L21" s="96">
        <f t="shared" si="7"/>
        <v>0.1702127659574468</v>
      </c>
      <c r="M21" s="96">
        <f t="shared" si="7"/>
        <v>0.14942528735632185</v>
      </c>
      <c r="N21" s="96">
        <f t="shared" si="7"/>
        <v>9.0909090909090912E-2</v>
      </c>
      <c r="O21" s="96">
        <f t="shared" si="7"/>
        <v>0.125</v>
      </c>
      <c r="P21" s="96">
        <f t="shared" si="7"/>
        <v>0.12652733877435474</v>
      </c>
      <c r="Q21" s="96">
        <f t="shared" si="7"/>
        <v>9.0909090909090912E-2</v>
      </c>
      <c r="R21" s="96">
        <f t="shared" si="7"/>
        <v>0.12500000000000008</v>
      </c>
      <c r="S21" s="96">
        <f t="shared" si="7"/>
        <v>4.7286978908860404E-2</v>
      </c>
    </row>
  </sheetData>
  <mergeCells count="6">
    <mergeCell ref="F10:F13"/>
    <mergeCell ref="G3:H3"/>
    <mergeCell ref="B2:F3"/>
    <mergeCell ref="G2:O2"/>
    <mergeCell ref="P2:S3"/>
    <mergeCell ref="I3:O3"/>
  </mergeCells>
  <conditionalFormatting sqref="G21:S21">
    <cfRule type="cellIs" dxfId="19" priority="1" operator="greaterThan">
      <formula>1</formula>
    </cfRule>
    <cfRule type="cellIs" dxfId="18" priority="2" operator="between">
      <formula>0.6</formula>
      <formula>1</formula>
    </cfRule>
    <cfRule type="cellIs" dxfId="17" priority="3" operator="between">
      <formula>0.3</formula>
      <formula>0.6</formula>
    </cfRule>
    <cfRule type="cellIs" dxfId="16" priority="4" operator="lessThan">
      <formula>0.3</formula>
    </cfRule>
  </conditionalFormatting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20"/>
  <sheetViews>
    <sheetView workbookViewId="0">
      <selection activeCell="D5" sqref="D5:F9"/>
    </sheetView>
  </sheetViews>
  <sheetFormatPr defaultRowHeight="15" x14ac:dyDescent="0.25"/>
  <cols>
    <col min="1" max="16384" width="9.140625" style="85"/>
  </cols>
  <sheetData>
    <row r="1" spans="2:19" ht="15.75" thickBot="1" x14ac:dyDescent="0.3"/>
    <row r="2" spans="2:19" ht="15.75" customHeight="1" thickBot="1" x14ac:dyDescent="0.3">
      <c r="B2" s="131" t="s">
        <v>54</v>
      </c>
      <c r="C2" s="153"/>
      <c r="D2" s="153"/>
      <c r="E2" s="153"/>
      <c r="F2" s="154"/>
      <c r="G2" s="171" t="s">
        <v>41</v>
      </c>
      <c r="H2" s="172"/>
      <c r="I2" s="172"/>
      <c r="J2" s="172"/>
      <c r="K2" s="172"/>
      <c r="L2" s="172"/>
      <c r="M2" s="172"/>
      <c r="N2" s="172"/>
      <c r="O2" s="173"/>
      <c r="P2" s="162" t="s">
        <v>42</v>
      </c>
      <c r="Q2" s="163"/>
      <c r="R2" s="163"/>
      <c r="S2" s="164"/>
    </row>
    <row r="3" spans="2:19" ht="15.75" thickBot="1" x14ac:dyDescent="0.3">
      <c r="B3" s="132"/>
      <c r="C3" s="155"/>
      <c r="D3" s="155"/>
      <c r="E3" s="155"/>
      <c r="F3" s="156"/>
      <c r="G3" s="162" t="s">
        <v>7</v>
      </c>
      <c r="H3" s="164"/>
      <c r="I3" s="171" t="s">
        <v>8</v>
      </c>
      <c r="J3" s="172"/>
      <c r="K3" s="172"/>
      <c r="L3" s="172"/>
      <c r="M3" s="172"/>
      <c r="N3" s="172"/>
      <c r="O3" s="173"/>
      <c r="P3" s="165"/>
      <c r="Q3" s="166"/>
      <c r="R3" s="166"/>
      <c r="S3" s="167"/>
    </row>
    <row r="4" spans="2:19" ht="15.75" thickBot="1" x14ac:dyDescent="0.3">
      <c r="B4" s="67" t="s">
        <v>44</v>
      </c>
      <c r="C4" s="68" t="s">
        <v>43</v>
      </c>
      <c r="D4" s="69" t="s">
        <v>45</v>
      </c>
      <c r="E4" s="69" t="s">
        <v>46</v>
      </c>
      <c r="F4" s="70" t="s">
        <v>47</v>
      </c>
      <c r="G4" s="69" t="s">
        <v>9</v>
      </c>
      <c r="H4" s="70" t="s">
        <v>48</v>
      </c>
      <c r="I4" s="69" t="s">
        <v>10</v>
      </c>
      <c r="J4" s="69" t="s">
        <v>11</v>
      </c>
      <c r="K4" s="69" t="s">
        <v>12</v>
      </c>
      <c r="L4" s="69" t="s">
        <v>8</v>
      </c>
      <c r="M4" s="70" t="s">
        <v>49</v>
      </c>
      <c r="N4" s="69" t="s">
        <v>13</v>
      </c>
      <c r="O4" s="70" t="s">
        <v>14</v>
      </c>
      <c r="P4" s="71" t="s">
        <v>15</v>
      </c>
      <c r="Q4" s="69" t="s">
        <v>50</v>
      </c>
      <c r="R4" s="69" t="s">
        <v>21</v>
      </c>
      <c r="S4" s="72" t="s">
        <v>17</v>
      </c>
    </row>
    <row r="5" spans="2:19" ht="15.75" thickTop="1" x14ac:dyDescent="0.25">
      <c r="B5" s="73" t="s">
        <v>18</v>
      </c>
      <c r="C5" s="74">
        <v>1</v>
      </c>
      <c r="D5" s="3">
        <v>4</v>
      </c>
      <c r="E5" s="3">
        <v>4</v>
      </c>
      <c r="F5" s="4">
        <v>4</v>
      </c>
      <c r="G5" s="75">
        <v>13</v>
      </c>
      <c r="H5" s="76">
        <v>32</v>
      </c>
      <c r="I5" s="75">
        <v>5</v>
      </c>
      <c r="J5" s="75">
        <v>28</v>
      </c>
      <c r="K5" s="75">
        <v>0</v>
      </c>
      <c r="L5" s="75">
        <f>SUM(I5:K5)</f>
        <v>33</v>
      </c>
      <c r="M5" s="76">
        <f>120+27</f>
        <v>147</v>
      </c>
      <c r="N5" s="75">
        <f>G5</f>
        <v>13</v>
      </c>
      <c r="O5" s="76">
        <f>I5+J5</f>
        <v>33</v>
      </c>
      <c r="P5" s="77">
        <f>((PI()*C5)/2)*(N5/O5)</f>
        <v>0.61879855297980768</v>
      </c>
      <c r="Q5" s="75">
        <f>N5/(4*C5)</f>
        <v>3.25</v>
      </c>
      <c r="R5" s="75">
        <f>O5/(2*(PI())*(C5^2))</f>
        <v>5.2521131220325463</v>
      </c>
      <c r="S5" s="78">
        <f>((3*J5)+(4*K5))/(I5+(3*J5)+(4*K5))</f>
        <v>0.9438202247191011</v>
      </c>
    </row>
    <row r="6" spans="2:19" x14ac:dyDescent="0.25">
      <c r="B6" s="73" t="s">
        <v>19</v>
      </c>
      <c r="C6" s="74">
        <v>1</v>
      </c>
      <c r="D6" s="3">
        <v>4</v>
      </c>
      <c r="E6" s="3">
        <v>4</v>
      </c>
      <c r="F6" s="4">
        <v>4</v>
      </c>
      <c r="G6" s="75">
        <v>20</v>
      </c>
      <c r="H6" s="76">
        <v>45</v>
      </c>
      <c r="I6" s="75">
        <v>12</v>
      </c>
      <c r="J6" s="75">
        <v>34</v>
      </c>
      <c r="K6" s="75">
        <v>0</v>
      </c>
      <c r="L6" s="75">
        <f t="shared" ref="L6:L9" si="0">SUM(I6:K6)</f>
        <v>46</v>
      </c>
      <c r="M6" s="76">
        <f>120+47</f>
        <v>167</v>
      </c>
      <c r="N6" s="75">
        <f>G6</f>
        <v>20</v>
      </c>
      <c r="O6" s="76">
        <f>I6+J6</f>
        <v>46</v>
      </c>
      <c r="P6" s="77">
        <f>((PI()*C6)/2)*(N6/O6)</f>
        <v>0.68295492469343322</v>
      </c>
      <c r="Q6" s="75">
        <f>N6/(4*C6)</f>
        <v>5</v>
      </c>
      <c r="R6" s="75">
        <f>O6/(2*(PI())*(C6^2))</f>
        <v>7.3211273822271856</v>
      </c>
      <c r="S6" s="78">
        <f>((3*J6)+(4*K6))/(I6+(3*J6)+(4*K6))</f>
        <v>0.89473684210526316</v>
      </c>
    </row>
    <row r="7" spans="2:19" x14ac:dyDescent="0.25">
      <c r="B7" s="73" t="s">
        <v>20</v>
      </c>
      <c r="C7" s="74">
        <v>1</v>
      </c>
      <c r="D7" s="3">
        <v>3</v>
      </c>
      <c r="E7" s="3">
        <v>3</v>
      </c>
      <c r="F7" s="4">
        <v>3</v>
      </c>
      <c r="G7" s="75">
        <v>12</v>
      </c>
      <c r="H7" s="76">
        <v>45</v>
      </c>
      <c r="I7" s="75">
        <v>13</v>
      </c>
      <c r="J7" s="75">
        <v>20</v>
      </c>
      <c r="K7" s="75">
        <v>0</v>
      </c>
      <c r="L7" s="75">
        <f t="shared" si="0"/>
        <v>33</v>
      </c>
      <c r="M7" s="76">
        <f>(3*60)+35</f>
        <v>215</v>
      </c>
      <c r="N7" s="75">
        <f>G7</f>
        <v>12</v>
      </c>
      <c r="O7" s="76">
        <f>I7+J7</f>
        <v>33</v>
      </c>
      <c r="P7" s="77">
        <f>((PI()*C7)/2)*(N7/O7)</f>
        <v>0.5711986642890533</v>
      </c>
      <c r="Q7" s="75">
        <f>N7/(4*C7)</f>
        <v>3</v>
      </c>
      <c r="R7" s="75">
        <f>O7/(2*(PI())*(C7^2))</f>
        <v>5.2521131220325463</v>
      </c>
      <c r="S7" s="78">
        <f>((3*J7)+(4*K7))/(I7+(3*J7)+(4*K7))</f>
        <v>0.82191780821917804</v>
      </c>
    </row>
    <row r="8" spans="2:19" x14ac:dyDescent="0.25">
      <c r="B8" s="73" t="s">
        <v>21</v>
      </c>
      <c r="C8" s="74">
        <v>1</v>
      </c>
      <c r="D8" s="3">
        <v>4</v>
      </c>
      <c r="E8" s="3">
        <v>4</v>
      </c>
      <c r="F8" s="4">
        <v>4</v>
      </c>
      <c r="G8" s="75">
        <v>14</v>
      </c>
      <c r="H8" s="76">
        <v>24</v>
      </c>
      <c r="I8" s="75">
        <v>16</v>
      </c>
      <c r="J8" s="75">
        <v>29</v>
      </c>
      <c r="K8" s="75">
        <v>0</v>
      </c>
      <c r="L8" s="75">
        <f t="shared" si="0"/>
        <v>45</v>
      </c>
      <c r="M8" s="76">
        <f>120+30</f>
        <v>150</v>
      </c>
      <c r="N8" s="75">
        <f>G8</f>
        <v>14</v>
      </c>
      <c r="O8" s="76">
        <f>I8+J8</f>
        <v>45</v>
      </c>
      <c r="P8" s="77">
        <f>((PI()*C8)/2)*(N8/O8)</f>
        <v>0.48869219055841229</v>
      </c>
      <c r="Q8" s="75">
        <f>N8/(4*C8)</f>
        <v>3.5</v>
      </c>
      <c r="R8" s="75">
        <f>O8/(2*(PI())*(C8^2))</f>
        <v>7.1619724391352904</v>
      </c>
      <c r="S8" s="78">
        <f>((3*J8)+(4*K8))/(I8+(3*J8)+(4*K8))</f>
        <v>0.84466019417475724</v>
      </c>
    </row>
    <row r="9" spans="2:19" ht="15.75" thickBot="1" x14ac:dyDescent="0.3">
      <c r="B9" s="79" t="s">
        <v>22</v>
      </c>
      <c r="C9" s="80">
        <v>1</v>
      </c>
      <c r="D9" s="10">
        <v>3</v>
      </c>
      <c r="E9" s="10">
        <v>3</v>
      </c>
      <c r="F9" s="11">
        <v>3</v>
      </c>
      <c r="G9" s="81">
        <v>15</v>
      </c>
      <c r="H9" s="82">
        <v>50</v>
      </c>
      <c r="I9" s="81">
        <v>19</v>
      </c>
      <c r="J9" s="81">
        <v>33</v>
      </c>
      <c r="K9" s="81">
        <v>4</v>
      </c>
      <c r="L9" s="81">
        <f t="shared" si="0"/>
        <v>56</v>
      </c>
      <c r="M9" s="82">
        <v>209</v>
      </c>
      <c r="N9" s="81">
        <f>G9</f>
        <v>15</v>
      </c>
      <c r="O9" s="82">
        <f>I9+J9</f>
        <v>52</v>
      </c>
      <c r="P9" s="83">
        <f>((PI()*C9)/2)*(N9/O9)</f>
        <v>0.45311432503698934</v>
      </c>
      <c r="Q9" s="81">
        <f>N9/(4*C9)</f>
        <v>3.75</v>
      </c>
      <c r="R9" s="81">
        <f>O9/(2*(PI())*(C9^2))</f>
        <v>8.2760570407785572</v>
      </c>
      <c r="S9" s="84">
        <f>((3*J9)+(4*K9))/(I9+(3*J9)+(4*K9))</f>
        <v>0.85820895522388063</v>
      </c>
    </row>
    <row r="10" spans="2:19" x14ac:dyDescent="0.25">
      <c r="F10" s="168" t="s">
        <v>52</v>
      </c>
      <c r="G10" s="86">
        <v>15</v>
      </c>
      <c r="H10" s="63">
        <v>41</v>
      </c>
    </row>
    <row r="11" spans="2:19" ht="15.75" thickBot="1" x14ac:dyDescent="0.3">
      <c r="F11" s="169"/>
      <c r="G11" s="81">
        <v>16</v>
      </c>
      <c r="H11" s="87">
        <v>22</v>
      </c>
    </row>
    <row r="12" spans="2:19" ht="15.75" thickBot="1" x14ac:dyDescent="0.3"/>
    <row r="13" spans="2:19" x14ac:dyDescent="0.25">
      <c r="F13" s="114" t="s">
        <v>57</v>
      </c>
      <c r="G13" s="115">
        <f>AVERAGE(G5:G11)</f>
        <v>15</v>
      </c>
      <c r="H13" s="115">
        <f t="shared" ref="H13:S13" si="1">AVERAGE(H5:H11)</f>
        <v>37</v>
      </c>
      <c r="I13" s="115">
        <f t="shared" si="1"/>
        <v>13</v>
      </c>
      <c r="J13" s="115">
        <f t="shared" si="1"/>
        <v>28.8</v>
      </c>
      <c r="K13" s="115">
        <f t="shared" si="1"/>
        <v>0.8</v>
      </c>
      <c r="L13" s="115">
        <f t="shared" si="1"/>
        <v>42.6</v>
      </c>
      <c r="M13" s="115">
        <f t="shared" si="1"/>
        <v>177.6</v>
      </c>
      <c r="N13" s="115">
        <f t="shared" si="1"/>
        <v>14.8</v>
      </c>
      <c r="O13" s="115">
        <f t="shared" si="1"/>
        <v>41.8</v>
      </c>
      <c r="P13" s="115">
        <f t="shared" si="1"/>
        <v>0.5629517315115391</v>
      </c>
      <c r="Q13" s="115">
        <f t="shared" si="1"/>
        <v>3.7</v>
      </c>
      <c r="R13" s="115">
        <f t="shared" si="1"/>
        <v>6.6526766212412252</v>
      </c>
      <c r="S13" s="115">
        <f t="shared" si="1"/>
        <v>0.87266880488843612</v>
      </c>
    </row>
    <row r="14" spans="2:19" x14ac:dyDescent="0.25">
      <c r="F14" s="120" t="s">
        <v>58</v>
      </c>
      <c r="G14" s="93">
        <f>MEDIAN(G5:G11)</f>
        <v>15</v>
      </c>
      <c r="H14" s="93">
        <f t="shared" ref="H14:S14" si="2">MEDIAN(H5:H11)</f>
        <v>41</v>
      </c>
      <c r="I14" s="93">
        <f t="shared" si="2"/>
        <v>13</v>
      </c>
      <c r="J14" s="93">
        <f t="shared" si="2"/>
        <v>29</v>
      </c>
      <c r="K14" s="93">
        <f t="shared" si="2"/>
        <v>0</v>
      </c>
      <c r="L14" s="93">
        <f t="shared" si="2"/>
        <v>45</v>
      </c>
      <c r="M14" s="93">
        <f t="shared" si="2"/>
        <v>167</v>
      </c>
      <c r="N14" s="93">
        <f t="shared" si="2"/>
        <v>14</v>
      </c>
      <c r="O14" s="93">
        <f t="shared" si="2"/>
        <v>45</v>
      </c>
      <c r="P14" s="93">
        <f t="shared" si="2"/>
        <v>0.5711986642890533</v>
      </c>
      <c r="Q14" s="93">
        <f t="shared" si="2"/>
        <v>3.5</v>
      </c>
      <c r="R14" s="93">
        <f t="shared" si="2"/>
        <v>7.1619724391352904</v>
      </c>
      <c r="S14" s="93">
        <f t="shared" si="2"/>
        <v>0.85820895522388063</v>
      </c>
    </row>
    <row r="15" spans="2:19" x14ac:dyDescent="0.25">
      <c r="F15" s="120" t="s">
        <v>35</v>
      </c>
      <c r="G15" s="93">
        <f>MIN(G5:G11)</f>
        <v>12</v>
      </c>
      <c r="H15" s="93">
        <f t="shared" ref="H15:S15" si="3">MIN(H5:H11)</f>
        <v>22</v>
      </c>
      <c r="I15" s="93">
        <f t="shared" si="3"/>
        <v>5</v>
      </c>
      <c r="J15" s="93">
        <f t="shared" si="3"/>
        <v>20</v>
      </c>
      <c r="K15" s="93">
        <f t="shared" si="3"/>
        <v>0</v>
      </c>
      <c r="L15" s="93">
        <f t="shared" si="3"/>
        <v>33</v>
      </c>
      <c r="M15" s="93">
        <f t="shared" si="3"/>
        <v>147</v>
      </c>
      <c r="N15" s="93">
        <f t="shared" si="3"/>
        <v>12</v>
      </c>
      <c r="O15" s="93">
        <f t="shared" si="3"/>
        <v>33</v>
      </c>
      <c r="P15" s="93">
        <f t="shared" si="3"/>
        <v>0.45311432503698934</v>
      </c>
      <c r="Q15" s="93">
        <f t="shared" si="3"/>
        <v>3</v>
      </c>
      <c r="R15" s="93">
        <f t="shared" si="3"/>
        <v>5.2521131220325463</v>
      </c>
      <c r="S15" s="93">
        <f t="shared" si="3"/>
        <v>0.82191780821917804</v>
      </c>
    </row>
    <row r="16" spans="2:19" x14ac:dyDescent="0.25">
      <c r="F16" s="120" t="s">
        <v>36</v>
      </c>
      <c r="G16" s="93">
        <f>MAX(G5:G11)</f>
        <v>20</v>
      </c>
      <c r="H16" s="93">
        <f t="shared" ref="H16:S16" si="4">MAX(H5:H11)</f>
        <v>50</v>
      </c>
      <c r="I16" s="93">
        <f t="shared" si="4"/>
        <v>19</v>
      </c>
      <c r="J16" s="93">
        <f t="shared" si="4"/>
        <v>34</v>
      </c>
      <c r="K16" s="93">
        <f t="shared" si="4"/>
        <v>4</v>
      </c>
      <c r="L16" s="93">
        <f t="shared" si="4"/>
        <v>56</v>
      </c>
      <c r="M16" s="93">
        <f t="shared" si="4"/>
        <v>215</v>
      </c>
      <c r="N16" s="93">
        <f t="shared" si="4"/>
        <v>20</v>
      </c>
      <c r="O16" s="93">
        <f t="shared" si="4"/>
        <v>52</v>
      </c>
      <c r="P16" s="93">
        <f t="shared" si="4"/>
        <v>0.68295492469343322</v>
      </c>
      <c r="Q16" s="93">
        <f t="shared" si="4"/>
        <v>5</v>
      </c>
      <c r="R16" s="93">
        <f t="shared" si="4"/>
        <v>8.2760570407785572</v>
      </c>
      <c r="S16" s="93">
        <f t="shared" si="4"/>
        <v>0.9438202247191011</v>
      </c>
    </row>
    <row r="17" spans="6:19" x14ac:dyDescent="0.25">
      <c r="F17" s="120" t="s">
        <v>59</v>
      </c>
      <c r="G17" s="19">
        <f>(MAX(G5:G11)-MIN(G5:G11))</f>
        <v>8</v>
      </c>
      <c r="H17" s="19">
        <f t="shared" ref="H17:S17" si="5">(MAX(H5:H11)-MIN(H5:H11))</f>
        <v>28</v>
      </c>
      <c r="I17" s="19">
        <f t="shared" si="5"/>
        <v>14</v>
      </c>
      <c r="J17" s="19">
        <f t="shared" si="5"/>
        <v>14</v>
      </c>
      <c r="K17" s="19">
        <f t="shared" si="5"/>
        <v>4</v>
      </c>
      <c r="L17" s="19">
        <f t="shared" si="5"/>
        <v>23</v>
      </c>
      <c r="M17" s="19">
        <f t="shared" si="5"/>
        <v>68</v>
      </c>
      <c r="N17" s="19">
        <f t="shared" si="5"/>
        <v>8</v>
      </c>
      <c r="O17" s="19">
        <f t="shared" si="5"/>
        <v>19</v>
      </c>
      <c r="P17" s="19">
        <f t="shared" si="5"/>
        <v>0.22984059965644388</v>
      </c>
      <c r="Q17" s="19">
        <f t="shared" si="5"/>
        <v>2</v>
      </c>
      <c r="R17" s="19">
        <f t="shared" si="5"/>
        <v>3.0239439187460109</v>
      </c>
      <c r="S17" s="19">
        <f t="shared" si="5"/>
        <v>0.12190241649992306</v>
      </c>
    </row>
    <row r="18" spans="6:19" ht="15.75" thickBot="1" x14ac:dyDescent="0.3">
      <c r="F18" s="124" t="s">
        <v>60</v>
      </c>
      <c r="G18" s="96">
        <f>(QUARTILE(G5:G11,3)-QUARTILE(G5:G11,1))/G14</f>
        <v>0.13333333333333333</v>
      </c>
      <c r="H18" s="96">
        <f t="shared" ref="H18:S18" si="6">(QUARTILE(H5:H11,3)-QUARTILE(H5:H11,1))/H14</f>
        <v>0.41463414634146339</v>
      </c>
      <c r="I18" s="96">
        <f t="shared" si="6"/>
        <v>0.30769230769230771</v>
      </c>
      <c r="J18" s="96">
        <f t="shared" si="6"/>
        <v>0.17241379310344829</v>
      </c>
      <c r="K18" s="96" t="e">
        <f t="shared" si="6"/>
        <v>#DIV/0!</v>
      </c>
      <c r="L18" s="96">
        <f t="shared" si="6"/>
        <v>0.28888888888888886</v>
      </c>
      <c r="M18" s="96">
        <f t="shared" si="6"/>
        <v>0.3532934131736527</v>
      </c>
      <c r="N18" s="96">
        <f t="shared" si="6"/>
        <v>0.14285714285714285</v>
      </c>
      <c r="O18" s="96">
        <f t="shared" si="6"/>
        <v>0.28888888888888886</v>
      </c>
      <c r="P18" s="96">
        <f t="shared" si="6"/>
        <v>0.22777777777777763</v>
      </c>
      <c r="Q18" s="96">
        <f t="shared" si="6"/>
        <v>0.14285714285714285</v>
      </c>
      <c r="R18" s="96">
        <f t="shared" si="6"/>
        <v>0.28888888888888886</v>
      </c>
      <c r="S18" s="96">
        <f t="shared" si="6"/>
        <v>5.835018106685038E-2</v>
      </c>
    </row>
    <row r="20" spans="6:19" x14ac:dyDescent="0.25">
      <c r="F20" s="126" t="s">
        <v>61</v>
      </c>
      <c r="G20" s="126">
        <f>G17/G14</f>
        <v>0.53333333333333333</v>
      </c>
      <c r="H20" s="126">
        <f t="shared" ref="H20:S20" si="7">H17/H14</f>
        <v>0.68292682926829273</v>
      </c>
      <c r="I20" s="126">
        <f t="shared" si="7"/>
        <v>1.0769230769230769</v>
      </c>
      <c r="J20" s="126">
        <f t="shared" si="7"/>
        <v>0.48275862068965519</v>
      </c>
      <c r="K20" s="126" t="e">
        <f t="shared" si="7"/>
        <v>#DIV/0!</v>
      </c>
      <c r="L20" s="126">
        <f t="shared" si="7"/>
        <v>0.51111111111111107</v>
      </c>
      <c r="M20" s="126">
        <f t="shared" si="7"/>
        <v>0.40718562874251496</v>
      </c>
      <c r="N20" s="126">
        <f t="shared" si="7"/>
        <v>0.5714285714285714</v>
      </c>
      <c r="O20" s="126">
        <f t="shared" si="7"/>
        <v>0.42222222222222222</v>
      </c>
      <c r="P20" s="126">
        <f t="shared" si="7"/>
        <v>0.40238294314381268</v>
      </c>
      <c r="Q20" s="126">
        <f t="shared" si="7"/>
        <v>0.5714285714285714</v>
      </c>
      <c r="R20" s="126">
        <f t="shared" si="7"/>
        <v>0.42222222222222211</v>
      </c>
      <c r="S20" s="126">
        <f t="shared" si="7"/>
        <v>0.14204281574773642</v>
      </c>
    </row>
  </sheetData>
  <mergeCells count="6">
    <mergeCell ref="F10:F11"/>
    <mergeCell ref="G3:H3"/>
    <mergeCell ref="B2:F3"/>
    <mergeCell ref="G2:O2"/>
    <mergeCell ref="P2:S3"/>
    <mergeCell ref="I3:O3"/>
  </mergeCells>
  <conditionalFormatting sqref="G18:S18">
    <cfRule type="cellIs" dxfId="15" priority="1" operator="greaterThan">
      <formula>1</formula>
    </cfRule>
    <cfRule type="cellIs" dxfId="14" priority="2" operator="between">
      <formula>0.6</formula>
      <formula>1</formula>
    </cfRule>
    <cfRule type="cellIs" dxfId="13" priority="3" operator="between">
      <formula>0.3</formula>
      <formula>0.6</formula>
    </cfRule>
    <cfRule type="cellIs" dxfId="12" priority="4" operator="lessThan">
      <formula>0.3</formula>
    </cfRule>
  </conditionalFormatting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21"/>
  <sheetViews>
    <sheetView workbookViewId="0">
      <selection activeCell="D6" sqref="D6:F8"/>
    </sheetView>
  </sheetViews>
  <sheetFormatPr defaultRowHeight="15" x14ac:dyDescent="0.25"/>
  <sheetData>
    <row r="1" spans="2:19" ht="15.75" thickBot="1" x14ac:dyDescent="0.3"/>
    <row r="2" spans="2:19" ht="15.75" customHeight="1" thickBot="1" x14ac:dyDescent="0.3">
      <c r="B2" s="131" t="s">
        <v>54</v>
      </c>
      <c r="C2" s="153"/>
      <c r="D2" s="153"/>
      <c r="E2" s="153"/>
      <c r="F2" s="154"/>
      <c r="G2" s="157" t="s">
        <v>41</v>
      </c>
      <c r="H2" s="158"/>
      <c r="I2" s="158"/>
      <c r="J2" s="158"/>
      <c r="K2" s="158"/>
      <c r="L2" s="158"/>
      <c r="M2" s="158"/>
      <c r="N2" s="158"/>
      <c r="O2" s="159"/>
      <c r="P2" s="162" t="s">
        <v>42</v>
      </c>
      <c r="Q2" s="163"/>
      <c r="R2" s="163"/>
      <c r="S2" s="164"/>
    </row>
    <row r="3" spans="2:19" ht="15.75" thickBot="1" x14ac:dyDescent="0.3">
      <c r="B3" s="132"/>
      <c r="C3" s="155"/>
      <c r="D3" s="155"/>
      <c r="E3" s="155"/>
      <c r="F3" s="156"/>
      <c r="G3" s="160" t="s">
        <v>7</v>
      </c>
      <c r="H3" s="161"/>
      <c r="I3" s="157" t="s">
        <v>8</v>
      </c>
      <c r="J3" s="158"/>
      <c r="K3" s="158"/>
      <c r="L3" s="158"/>
      <c r="M3" s="158"/>
      <c r="N3" s="158"/>
      <c r="O3" s="159"/>
      <c r="P3" s="165"/>
      <c r="Q3" s="166"/>
      <c r="R3" s="166"/>
      <c r="S3" s="167"/>
    </row>
    <row r="4" spans="2:19" ht="15.75" thickBot="1" x14ac:dyDescent="0.3">
      <c r="B4" s="44" t="s">
        <v>44</v>
      </c>
      <c r="C4" s="45" t="s">
        <v>43</v>
      </c>
      <c r="D4" s="46" t="s">
        <v>45</v>
      </c>
      <c r="E4" s="46" t="s">
        <v>46</v>
      </c>
      <c r="F4" s="48" t="s">
        <v>47</v>
      </c>
      <c r="G4" s="46" t="s">
        <v>9</v>
      </c>
      <c r="H4" s="48" t="s">
        <v>48</v>
      </c>
      <c r="I4" s="46" t="s">
        <v>10</v>
      </c>
      <c r="J4" s="46" t="s">
        <v>11</v>
      </c>
      <c r="K4" s="46" t="s">
        <v>12</v>
      </c>
      <c r="L4" s="46" t="s">
        <v>8</v>
      </c>
      <c r="M4" s="48" t="s">
        <v>49</v>
      </c>
      <c r="N4" s="46" t="s">
        <v>13</v>
      </c>
      <c r="O4" s="48" t="s">
        <v>14</v>
      </c>
      <c r="P4" s="49" t="s">
        <v>15</v>
      </c>
      <c r="Q4" s="46" t="s">
        <v>50</v>
      </c>
      <c r="R4" s="46" t="s">
        <v>21</v>
      </c>
      <c r="S4" s="50" t="s">
        <v>17</v>
      </c>
    </row>
    <row r="5" spans="2:19" ht="15.75" thickTop="1" x14ac:dyDescent="0.25">
      <c r="B5" s="1" t="s">
        <v>18</v>
      </c>
      <c r="C5" s="2">
        <v>1</v>
      </c>
      <c r="D5" s="3">
        <v>4</v>
      </c>
      <c r="E5" s="3">
        <v>4</v>
      </c>
      <c r="F5" s="4">
        <v>4</v>
      </c>
      <c r="G5" s="3">
        <v>14</v>
      </c>
      <c r="H5" s="4">
        <v>26</v>
      </c>
      <c r="I5" s="3">
        <v>4</v>
      </c>
      <c r="J5" s="3">
        <v>28</v>
      </c>
      <c r="K5" s="3">
        <v>2</v>
      </c>
      <c r="L5" s="3">
        <f>SUM(I5:K5)</f>
        <v>34</v>
      </c>
      <c r="M5" s="4">
        <f>120+55</f>
        <v>175</v>
      </c>
      <c r="N5" s="3">
        <f t="shared" ref="N5:N10" si="0">G5</f>
        <v>14</v>
      </c>
      <c r="O5" s="4">
        <f t="shared" ref="O5:O10" si="1">I5+J5</f>
        <v>32</v>
      </c>
      <c r="P5" s="5">
        <f t="shared" ref="P5:P10" si="2">((PI()*C5)/2)*(N5/O5)</f>
        <v>0.68722339297276724</v>
      </c>
      <c r="Q5" s="3">
        <f t="shared" ref="Q5:Q10" si="3">N5/(4*C5)</f>
        <v>3.5</v>
      </c>
      <c r="R5" s="3">
        <f t="shared" ref="R5:R10" si="4">O5/(2*(PI())*(C5^2))</f>
        <v>5.0929581789406511</v>
      </c>
      <c r="S5" s="7">
        <f t="shared" ref="S5:S10" si="5">((3*J5)+(4*K5))/(I5+(3*J5)+(4*K5))</f>
        <v>0.95833333333333337</v>
      </c>
    </row>
    <row r="6" spans="2:19" x14ac:dyDescent="0.25">
      <c r="B6" s="1" t="s">
        <v>19</v>
      </c>
      <c r="C6" s="2">
        <v>1</v>
      </c>
      <c r="D6" s="3">
        <v>4</v>
      </c>
      <c r="E6" s="3">
        <v>4</v>
      </c>
      <c r="F6" s="4">
        <v>4</v>
      </c>
      <c r="G6" s="3">
        <v>15</v>
      </c>
      <c r="H6" s="4">
        <v>25</v>
      </c>
      <c r="I6" s="3">
        <v>5</v>
      </c>
      <c r="J6" s="3">
        <v>29</v>
      </c>
      <c r="K6" s="3">
        <v>5</v>
      </c>
      <c r="L6" s="3">
        <f t="shared" ref="L6:L10" si="6">SUM(I6:K6)</f>
        <v>39</v>
      </c>
      <c r="M6" s="4">
        <f>(3*60)+13</f>
        <v>193</v>
      </c>
      <c r="N6" s="3">
        <f t="shared" si="0"/>
        <v>15</v>
      </c>
      <c r="O6" s="4">
        <f t="shared" si="1"/>
        <v>34</v>
      </c>
      <c r="P6" s="5">
        <f t="shared" si="2"/>
        <v>0.69299837946833664</v>
      </c>
      <c r="Q6" s="3">
        <f t="shared" si="3"/>
        <v>3.75</v>
      </c>
      <c r="R6" s="3">
        <f t="shared" si="4"/>
        <v>5.4112680651244416</v>
      </c>
      <c r="S6" s="7">
        <f t="shared" si="5"/>
        <v>0.9553571428571429</v>
      </c>
    </row>
    <row r="7" spans="2:19" x14ac:dyDescent="0.25">
      <c r="B7" s="1" t="s">
        <v>20</v>
      </c>
      <c r="C7" s="2">
        <v>1</v>
      </c>
      <c r="D7" s="3">
        <v>3</v>
      </c>
      <c r="E7" s="3">
        <v>3</v>
      </c>
      <c r="F7" s="4">
        <v>3</v>
      </c>
      <c r="G7" s="3">
        <v>16</v>
      </c>
      <c r="H7" s="4">
        <v>31</v>
      </c>
      <c r="I7" s="3">
        <v>5</v>
      </c>
      <c r="J7" s="3">
        <v>28</v>
      </c>
      <c r="K7" s="3">
        <v>8</v>
      </c>
      <c r="L7" s="3">
        <f t="shared" si="6"/>
        <v>41</v>
      </c>
      <c r="M7" s="4">
        <f>(4*60)+5</f>
        <v>245</v>
      </c>
      <c r="N7" s="3">
        <f t="shared" si="0"/>
        <v>16</v>
      </c>
      <c r="O7" s="4">
        <f t="shared" si="1"/>
        <v>33</v>
      </c>
      <c r="P7" s="5">
        <f t="shared" si="2"/>
        <v>0.76159821905207103</v>
      </c>
      <c r="Q7" s="3">
        <f t="shared" si="3"/>
        <v>4</v>
      </c>
      <c r="R7" s="3">
        <f t="shared" si="4"/>
        <v>5.2521131220325463</v>
      </c>
      <c r="S7" s="7">
        <f t="shared" si="5"/>
        <v>0.95867768595041325</v>
      </c>
    </row>
    <row r="8" spans="2:19" x14ac:dyDescent="0.25">
      <c r="B8" s="1" t="s">
        <v>21</v>
      </c>
      <c r="C8" s="2">
        <v>1</v>
      </c>
      <c r="D8" s="3">
        <v>4</v>
      </c>
      <c r="E8" s="3">
        <v>4</v>
      </c>
      <c r="F8" s="4">
        <v>4</v>
      </c>
      <c r="G8" s="3">
        <v>16</v>
      </c>
      <c r="H8" s="4">
        <v>17</v>
      </c>
      <c r="I8" s="3">
        <v>5</v>
      </c>
      <c r="J8" s="3">
        <v>47</v>
      </c>
      <c r="K8" s="3">
        <v>2</v>
      </c>
      <c r="L8" s="3">
        <f t="shared" si="6"/>
        <v>54</v>
      </c>
      <c r="M8" s="4">
        <f>120+9</f>
        <v>129</v>
      </c>
      <c r="N8" s="3">
        <f t="shared" si="0"/>
        <v>16</v>
      </c>
      <c r="O8" s="4">
        <f t="shared" si="1"/>
        <v>52</v>
      </c>
      <c r="P8" s="5">
        <f t="shared" si="2"/>
        <v>0.48332194670612205</v>
      </c>
      <c r="Q8" s="3">
        <f t="shared" si="3"/>
        <v>4</v>
      </c>
      <c r="R8" s="3">
        <f t="shared" si="4"/>
        <v>8.2760570407785572</v>
      </c>
      <c r="S8" s="7">
        <f t="shared" si="5"/>
        <v>0.96753246753246758</v>
      </c>
    </row>
    <row r="9" spans="2:19" x14ac:dyDescent="0.25">
      <c r="B9" s="1" t="s">
        <v>21</v>
      </c>
      <c r="C9" s="2">
        <v>1</v>
      </c>
      <c r="D9" s="3">
        <v>4</v>
      </c>
      <c r="E9" s="3">
        <v>4</v>
      </c>
      <c r="F9" s="4">
        <v>4</v>
      </c>
      <c r="G9" s="3">
        <v>14</v>
      </c>
      <c r="H9" s="4">
        <v>14</v>
      </c>
      <c r="I9" s="3">
        <v>8</v>
      </c>
      <c r="J9" s="3">
        <v>40</v>
      </c>
      <c r="K9" s="3">
        <v>2</v>
      </c>
      <c r="L9" s="3">
        <f t="shared" si="6"/>
        <v>50</v>
      </c>
      <c r="M9" s="4">
        <f>120+7</f>
        <v>127</v>
      </c>
      <c r="N9" s="3">
        <f t="shared" si="0"/>
        <v>14</v>
      </c>
      <c r="O9" s="4">
        <f t="shared" si="1"/>
        <v>48</v>
      </c>
      <c r="P9" s="5">
        <f t="shared" si="2"/>
        <v>0.45814892864851153</v>
      </c>
      <c r="Q9" s="3">
        <f t="shared" si="3"/>
        <v>3.5</v>
      </c>
      <c r="R9" s="3">
        <f t="shared" si="4"/>
        <v>7.6394372684109761</v>
      </c>
      <c r="S9" s="7">
        <f t="shared" si="5"/>
        <v>0.94117647058823528</v>
      </c>
    </row>
    <row r="10" spans="2:19" ht="15.75" thickBot="1" x14ac:dyDescent="0.3">
      <c r="B10" s="8" t="s">
        <v>22</v>
      </c>
      <c r="C10" s="9">
        <v>1</v>
      </c>
      <c r="D10" s="10">
        <v>3</v>
      </c>
      <c r="E10" s="10">
        <v>3</v>
      </c>
      <c r="F10" s="11">
        <v>3</v>
      </c>
      <c r="G10" s="10">
        <v>19</v>
      </c>
      <c r="H10" s="11">
        <v>43</v>
      </c>
      <c r="I10" s="10">
        <v>8</v>
      </c>
      <c r="J10" s="10">
        <v>42</v>
      </c>
      <c r="K10" s="10">
        <v>6</v>
      </c>
      <c r="L10" s="10">
        <f t="shared" si="6"/>
        <v>56</v>
      </c>
      <c r="M10" s="11">
        <v>156</v>
      </c>
      <c r="N10" s="10">
        <f t="shared" si="0"/>
        <v>19</v>
      </c>
      <c r="O10" s="11">
        <f t="shared" si="1"/>
        <v>50</v>
      </c>
      <c r="P10" s="12">
        <f t="shared" si="2"/>
        <v>0.59690260418206065</v>
      </c>
      <c r="Q10" s="10">
        <f t="shared" si="3"/>
        <v>4.75</v>
      </c>
      <c r="R10" s="10">
        <f t="shared" si="4"/>
        <v>7.9577471545947667</v>
      </c>
      <c r="S10" s="14">
        <f t="shared" si="5"/>
        <v>0.94936708860759489</v>
      </c>
    </row>
    <row r="11" spans="2:19" x14ac:dyDescent="0.25">
      <c r="F11" s="168" t="s">
        <v>52</v>
      </c>
      <c r="G11" s="86">
        <v>12</v>
      </c>
      <c r="H11" s="63">
        <v>12</v>
      </c>
    </row>
    <row r="12" spans="2:19" ht="15.75" thickBot="1" x14ac:dyDescent="0.3">
      <c r="F12" s="169"/>
      <c r="G12" s="81">
        <v>18</v>
      </c>
      <c r="H12" s="87">
        <v>13</v>
      </c>
    </row>
    <row r="13" spans="2:19" ht="15.75" thickBot="1" x14ac:dyDescent="0.3"/>
    <row r="14" spans="2:19" x14ac:dyDescent="0.25">
      <c r="F14" s="114" t="s">
        <v>57</v>
      </c>
      <c r="G14" s="115">
        <f>AVERAGE(G5:G12)</f>
        <v>15.5</v>
      </c>
      <c r="H14" s="115">
        <f t="shared" ref="H14:S14" si="7">AVERAGE(H5:H12)</f>
        <v>22.625</v>
      </c>
      <c r="I14" s="115">
        <f t="shared" si="7"/>
        <v>5.833333333333333</v>
      </c>
      <c r="J14" s="115">
        <f t="shared" si="7"/>
        <v>35.666666666666664</v>
      </c>
      <c r="K14" s="115">
        <f t="shared" si="7"/>
        <v>4.166666666666667</v>
      </c>
      <c r="L14" s="115">
        <f t="shared" si="7"/>
        <v>45.666666666666664</v>
      </c>
      <c r="M14" s="115">
        <f t="shared" si="7"/>
        <v>170.83333333333334</v>
      </c>
      <c r="N14" s="115">
        <f t="shared" si="7"/>
        <v>15.666666666666666</v>
      </c>
      <c r="O14" s="115">
        <f t="shared" si="7"/>
        <v>41.5</v>
      </c>
      <c r="P14" s="115">
        <f t="shared" si="7"/>
        <v>0.61336557850497819</v>
      </c>
      <c r="Q14" s="115">
        <f t="shared" si="7"/>
        <v>3.9166666666666665</v>
      </c>
      <c r="R14" s="115">
        <f t="shared" si="7"/>
        <v>6.6049301383136561</v>
      </c>
      <c r="S14" s="115">
        <f t="shared" si="7"/>
        <v>0.95507403147819792</v>
      </c>
    </row>
    <row r="15" spans="2:19" x14ac:dyDescent="0.25">
      <c r="F15" s="120" t="s">
        <v>58</v>
      </c>
      <c r="G15" s="93">
        <f>MEDIAN(G5:G12)</f>
        <v>15.5</v>
      </c>
      <c r="H15" s="93">
        <f t="shared" ref="H15:S15" si="8">MEDIAN(H5:H12)</f>
        <v>21</v>
      </c>
      <c r="I15" s="93">
        <f t="shared" si="8"/>
        <v>5</v>
      </c>
      <c r="J15" s="93">
        <f t="shared" si="8"/>
        <v>34.5</v>
      </c>
      <c r="K15" s="93">
        <f t="shared" si="8"/>
        <v>3.5</v>
      </c>
      <c r="L15" s="93">
        <f t="shared" si="8"/>
        <v>45.5</v>
      </c>
      <c r="M15" s="93">
        <f t="shared" si="8"/>
        <v>165.5</v>
      </c>
      <c r="N15" s="93">
        <f t="shared" si="8"/>
        <v>15.5</v>
      </c>
      <c r="O15" s="93">
        <f t="shared" si="8"/>
        <v>41</v>
      </c>
      <c r="P15" s="93">
        <f t="shared" si="8"/>
        <v>0.642062998577414</v>
      </c>
      <c r="Q15" s="93">
        <f t="shared" si="8"/>
        <v>3.875</v>
      </c>
      <c r="R15" s="93">
        <f t="shared" si="8"/>
        <v>6.5253526667677093</v>
      </c>
      <c r="S15" s="93">
        <f t="shared" si="8"/>
        <v>0.95684523809523814</v>
      </c>
    </row>
    <row r="16" spans="2:19" x14ac:dyDescent="0.25">
      <c r="F16" s="120" t="s">
        <v>35</v>
      </c>
      <c r="G16" s="93">
        <f>MIN(G5:G12)</f>
        <v>12</v>
      </c>
      <c r="H16" s="93">
        <f t="shared" ref="H16:S16" si="9">MIN(H5:H12)</f>
        <v>12</v>
      </c>
      <c r="I16" s="93">
        <f t="shared" si="9"/>
        <v>4</v>
      </c>
      <c r="J16" s="93">
        <f t="shared" si="9"/>
        <v>28</v>
      </c>
      <c r="K16" s="93">
        <f t="shared" si="9"/>
        <v>2</v>
      </c>
      <c r="L16" s="93">
        <f t="shared" si="9"/>
        <v>34</v>
      </c>
      <c r="M16" s="93">
        <f t="shared" si="9"/>
        <v>127</v>
      </c>
      <c r="N16" s="93">
        <f t="shared" si="9"/>
        <v>14</v>
      </c>
      <c r="O16" s="93">
        <f t="shared" si="9"/>
        <v>32</v>
      </c>
      <c r="P16" s="93">
        <f t="shared" si="9"/>
        <v>0.45814892864851153</v>
      </c>
      <c r="Q16" s="93">
        <f t="shared" si="9"/>
        <v>3.5</v>
      </c>
      <c r="R16" s="93">
        <f t="shared" si="9"/>
        <v>5.0929581789406511</v>
      </c>
      <c r="S16" s="93">
        <f t="shared" si="9"/>
        <v>0.94117647058823528</v>
      </c>
    </row>
    <row r="17" spans="6:19" x14ac:dyDescent="0.25">
      <c r="F17" s="120" t="s">
        <v>36</v>
      </c>
      <c r="G17" s="93">
        <f>MAX(G5:G12)</f>
        <v>19</v>
      </c>
      <c r="H17" s="93">
        <f t="shared" ref="H17:S17" si="10">MAX(H5:H12)</f>
        <v>43</v>
      </c>
      <c r="I17" s="93">
        <f t="shared" si="10"/>
        <v>8</v>
      </c>
      <c r="J17" s="93">
        <f t="shared" si="10"/>
        <v>47</v>
      </c>
      <c r="K17" s="93">
        <f t="shared" si="10"/>
        <v>8</v>
      </c>
      <c r="L17" s="93">
        <f t="shared" si="10"/>
        <v>56</v>
      </c>
      <c r="M17" s="93">
        <f t="shared" si="10"/>
        <v>245</v>
      </c>
      <c r="N17" s="93">
        <f t="shared" si="10"/>
        <v>19</v>
      </c>
      <c r="O17" s="93">
        <f t="shared" si="10"/>
        <v>52</v>
      </c>
      <c r="P17" s="93">
        <f t="shared" si="10"/>
        <v>0.76159821905207103</v>
      </c>
      <c r="Q17" s="93">
        <f t="shared" si="10"/>
        <v>4.75</v>
      </c>
      <c r="R17" s="93">
        <f t="shared" si="10"/>
        <v>8.2760570407785572</v>
      </c>
      <c r="S17" s="93">
        <f t="shared" si="10"/>
        <v>0.96753246753246758</v>
      </c>
    </row>
    <row r="18" spans="6:19" x14ac:dyDescent="0.25">
      <c r="F18" s="120" t="s">
        <v>59</v>
      </c>
      <c r="G18" s="19">
        <f>(MAX(G5:G12)-MIN(G5:G12))</f>
        <v>7</v>
      </c>
      <c r="H18" s="19">
        <f t="shared" ref="H18:S18" si="11">(MAX(H5:H12)-MIN(H5:H12))</f>
        <v>31</v>
      </c>
      <c r="I18" s="19">
        <f t="shared" si="11"/>
        <v>4</v>
      </c>
      <c r="J18" s="19">
        <f t="shared" si="11"/>
        <v>19</v>
      </c>
      <c r="K18" s="19">
        <f t="shared" si="11"/>
        <v>6</v>
      </c>
      <c r="L18" s="19">
        <f t="shared" si="11"/>
        <v>22</v>
      </c>
      <c r="M18" s="19">
        <f t="shared" si="11"/>
        <v>118</v>
      </c>
      <c r="N18" s="19">
        <f t="shared" si="11"/>
        <v>5</v>
      </c>
      <c r="O18" s="19">
        <f t="shared" si="11"/>
        <v>20</v>
      </c>
      <c r="P18" s="19">
        <f t="shared" si="11"/>
        <v>0.3034492904035595</v>
      </c>
      <c r="Q18" s="19">
        <f t="shared" si="11"/>
        <v>1.25</v>
      </c>
      <c r="R18" s="19">
        <f t="shared" si="11"/>
        <v>3.1830988618379061</v>
      </c>
      <c r="S18" s="19">
        <f t="shared" si="11"/>
        <v>2.6355996944232296E-2</v>
      </c>
    </row>
    <row r="19" spans="6:19" ht="15.75" thickBot="1" x14ac:dyDescent="0.3">
      <c r="F19" s="124" t="s">
        <v>60</v>
      </c>
      <c r="G19" s="96">
        <f>(QUARTILE(G5:G12,3)-QUARTILE(G5:G12,1))/G15</f>
        <v>0.16129032258064516</v>
      </c>
      <c r="H19" s="96">
        <f t="shared" ref="H19:S19" si="12">(QUARTILE(H5:H12,3)-QUARTILE(H5:H12,1))/H15</f>
        <v>0.6428571428571429</v>
      </c>
      <c r="I19" s="96">
        <f t="shared" si="12"/>
        <v>0.45</v>
      </c>
      <c r="J19" s="96">
        <f t="shared" si="12"/>
        <v>0.38405797101449274</v>
      </c>
      <c r="K19" s="96">
        <f t="shared" si="12"/>
        <v>1.0714285714285714</v>
      </c>
      <c r="L19" s="96">
        <f t="shared" si="12"/>
        <v>0.2967032967032967</v>
      </c>
      <c r="M19" s="96">
        <f t="shared" si="12"/>
        <v>0.31873111782477342</v>
      </c>
      <c r="N19" s="96">
        <f t="shared" si="12"/>
        <v>0.11290322580645161</v>
      </c>
      <c r="O19" s="96">
        <f t="shared" si="12"/>
        <v>0.39634146341463417</v>
      </c>
      <c r="P19" s="96">
        <f t="shared" si="12"/>
        <v>0.28009326525246653</v>
      </c>
      <c r="Q19" s="96">
        <f t="shared" si="12"/>
        <v>0.11290322580645161</v>
      </c>
      <c r="R19" s="96">
        <f t="shared" si="12"/>
        <v>0.39634146341463405</v>
      </c>
      <c r="S19" s="96">
        <f t="shared" si="12"/>
        <v>8.0754915408715339E-3</v>
      </c>
    </row>
    <row r="20" spans="6:19" x14ac:dyDescent="0.25"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</row>
    <row r="21" spans="6:19" x14ac:dyDescent="0.25">
      <c r="F21" s="126" t="s">
        <v>61</v>
      </c>
      <c r="G21" s="126">
        <f>G18/G15</f>
        <v>0.45161290322580644</v>
      </c>
      <c r="H21" s="126">
        <f t="shared" ref="H21:S21" si="13">H18/H15</f>
        <v>1.4761904761904763</v>
      </c>
      <c r="I21" s="126">
        <f t="shared" si="13"/>
        <v>0.8</v>
      </c>
      <c r="J21" s="126">
        <f t="shared" si="13"/>
        <v>0.55072463768115942</v>
      </c>
      <c r="K21" s="126">
        <f t="shared" si="13"/>
        <v>1.7142857142857142</v>
      </c>
      <c r="L21" s="126">
        <f t="shared" si="13"/>
        <v>0.48351648351648352</v>
      </c>
      <c r="M21" s="126">
        <f t="shared" si="13"/>
        <v>0.71299093655589119</v>
      </c>
      <c r="N21" s="126">
        <f t="shared" si="13"/>
        <v>0.32258064516129031</v>
      </c>
      <c r="O21" s="126">
        <f t="shared" si="13"/>
        <v>0.48780487804878048</v>
      </c>
      <c r="P21" s="126">
        <f t="shared" si="13"/>
        <v>0.47261606894634406</v>
      </c>
      <c r="Q21" s="126">
        <f t="shared" si="13"/>
        <v>0.32258064516129031</v>
      </c>
      <c r="R21" s="126">
        <f t="shared" si="13"/>
        <v>0.48780487804878037</v>
      </c>
      <c r="S21" s="126">
        <f t="shared" si="13"/>
        <v>2.7544681098793315E-2</v>
      </c>
    </row>
  </sheetData>
  <mergeCells count="6">
    <mergeCell ref="F11:F12"/>
    <mergeCell ref="G3:H3"/>
    <mergeCell ref="B2:F3"/>
    <mergeCell ref="G2:O2"/>
    <mergeCell ref="P2:S3"/>
    <mergeCell ref="I3:O3"/>
  </mergeCells>
  <conditionalFormatting sqref="G19:S19">
    <cfRule type="cellIs" dxfId="11" priority="1" operator="greaterThan">
      <formula>1</formula>
    </cfRule>
    <cfRule type="cellIs" dxfId="10" priority="2" operator="between">
      <formula>0.6</formula>
      <formula>1</formula>
    </cfRule>
    <cfRule type="cellIs" dxfId="9" priority="3" operator="between">
      <formula>0.3</formula>
      <formula>0.6</formula>
    </cfRule>
    <cfRule type="cellIs" dxfId="8" priority="4" operator="lessThan">
      <formula>0.3</formula>
    </cfRule>
  </conditionalFormatting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24"/>
  <sheetViews>
    <sheetView workbookViewId="0">
      <selection activeCell="D5" sqref="D5:F12"/>
    </sheetView>
  </sheetViews>
  <sheetFormatPr defaultRowHeight="15" x14ac:dyDescent="0.25"/>
  <sheetData>
    <row r="1" spans="2:25" ht="15.75" thickBot="1" x14ac:dyDescent="0.3"/>
    <row r="2" spans="2:25" ht="15.75" customHeight="1" thickBot="1" x14ac:dyDescent="0.3">
      <c r="B2" s="131" t="s">
        <v>54</v>
      </c>
      <c r="C2" s="153"/>
      <c r="D2" s="153"/>
      <c r="E2" s="153"/>
      <c r="F2" s="154"/>
      <c r="G2" s="157" t="s">
        <v>41</v>
      </c>
      <c r="H2" s="158"/>
      <c r="I2" s="158"/>
      <c r="J2" s="158"/>
      <c r="K2" s="158"/>
      <c r="L2" s="158"/>
      <c r="M2" s="158"/>
      <c r="N2" s="158"/>
      <c r="O2" s="159"/>
      <c r="P2" s="162" t="s">
        <v>42</v>
      </c>
      <c r="Q2" s="163"/>
      <c r="R2" s="163"/>
      <c r="S2" s="164"/>
    </row>
    <row r="3" spans="2:25" ht="15.75" thickBot="1" x14ac:dyDescent="0.3">
      <c r="B3" s="132"/>
      <c r="C3" s="155"/>
      <c r="D3" s="155"/>
      <c r="E3" s="155"/>
      <c r="F3" s="156"/>
      <c r="G3" s="160" t="s">
        <v>7</v>
      </c>
      <c r="H3" s="161"/>
      <c r="I3" s="157" t="s">
        <v>8</v>
      </c>
      <c r="J3" s="158"/>
      <c r="K3" s="158"/>
      <c r="L3" s="158"/>
      <c r="M3" s="158"/>
      <c r="N3" s="158"/>
      <c r="O3" s="159"/>
      <c r="P3" s="165"/>
      <c r="Q3" s="166"/>
      <c r="R3" s="166"/>
      <c r="S3" s="167"/>
    </row>
    <row r="4" spans="2:25" ht="15.75" thickBot="1" x14ac:dyDescent="0.3">
      <c r="B4" s="44" t="s">
        <v>44</v>
      </c>
      <c r="C4" s="45" t="s">
        <v>43</v>
      </c>
      <c r="D4" s="46" t="s">
        <v>45</v>
      </c>
      <c r="E4" s="46" t="s">
        <v>46</v>
      </c>
      <c r="F4" s="48" t="s">
        <v>47</v>
      </c>
      <c r="G4" s="46" t="s">
        <v>13</v>
      </c>
      <c r="H4" s="46" t="s">
        <v>48</v>
      </c>
      <c r="I4" s="47" t="s">
        <v>10</v>
      </c>
      <c r="J4" s="46" t="s">
        <v>11</v>
      </c>
      <c r="K4" s="46" t="s">
        <v>12</v>
      </c>
      <c r="L4" s="46" t="s">
        <v>8</v>
      </c>
      <c r="M4" s="46" t="s">
        <v>49</v>
      </c>
      <c r="N4" s="47" t="s">
        <v>13</v>
      </c>
      <c r="O4" s="46" t="s">
        <v>14</v>
      </c>
      <c r="P4" s="90" t="s">
        <v>15</v>
      </c>
      <c r="Q4" s="46" t="s">
        <v>50</v>
      </c>
      <c r="R4" s="46" t="s">
        <v>21</v>
      </c>
      <c r="S4" s="50" t="s">
        <v>17</v>
      </c>
      <c r="T4" s="16"/>
      <c r="U4" s="16"/>
      <c r="V4" s="16"/>
      <c r="W4" s="16"/>
      <c r="X4" s="16"/>
      <c r="Y4" s="16"/>
    </row>
    <row r="5" spans="2:25" ht="15.75" thickTop="1" x14ac:dyDescent="0.25">
      <c r="B5" s="36" t="s">
        <v>19</v>
      </c>
      <c r="C5" s="37">
        <f t="shared" ref="C5:C10" si="0">0.5*1.45</f>
        <v>0.72499999999999998</v>
      </c>
      <c r="D5" s="3">
        <v>4</v>
      </c>
      <c r="E5" s="3">
        <v>4</v>
      </c>
      <c r="F5" s="4">
        <v>4</v>
      </c>
      <c r="G5" s="38">
        <v>9</v>
      </c>
      <c r="H5" s="38">
        <v>22</v>
      </c>
      <c r="I5" s="88">
        <v>0</v>
      </c>
      <c r="J5" s="38">
        <v>12</v>
      </c>
      <c r="K5" s="38">
        <v>1</v>
      </c>
      <c r="L5" s="3">
        <f t="shared" ref="L5:L12" si="1">SUM(I5:K5)</f>
        <v>13</v>
      </c>
      <c r="M5" s="38">
        <v>66</v>
      </c>
      <c r="N5" s="32">
        <f t="shared" ref="N5:N10" si="2">G5</f>
        <v>9</v>
      </c>
      <c r="O5" s="3">
        <f t="shared" ref="O5:O10" si="3">I5+J5</f>
        <v>12</v>
      </c>
      <c r="P5" s="89">
        <f t="shared" ref="P5:P10" si="4">((PI()*C5)/2)*(N5/O5)</f>
        <v>0.85412050269472495</v>
      </c>
      <c r="Q5" s="6">
        <f t="shared" ref="Q5:Q10" si="5">N5/(4*C5)</f>
        <v>3.103448275862069</v>
      </c>
      <c r="R5" s="3">
        <f t="shared" ref="R5:R12" si="6">O5/(2*(PI())*(C5^2))</f>
        <v>3.6335016734416059</v>
      </c>
      <c r="S5" s="55">
        <f t="shared" ref="S5:S10" si="7">((3*J5)+(4*K5))/(I5+(3*J5)+(4*K5))</f>
        <v>1</v>
      </c>
    </row>
    <row r="6" spans="2:25" x14ac:dyDescent="0.25">
      <c r="B6" s="1" t="s">
        <v>20</v>
      </c>
      <c r="C6" s="2">
        <f t="shared" si="0"/>
        <v>0.72499999999999998</v>
      </c>
      <c r="D6" s="3">
        <v>3</v>
      </c>
      <c r="E6" s="3">
        <v>3</v>
      </c>
      <c r="F6" s="4">
        <v>3</v>
      </c>
      <c r="G6" s="3">
        <v>8</v>
      </c>
      <c r="H6" s="3">
        <v>22</v>
      </c>
      <c r="I6" s="32">
        <v>0</v>
      </c>
      <c r="J6" s="3">
        <v>7</v>
      </c>
      <c r="K6" s="3">
        <v>1</v>
      </c>
      <c r="L6" s="3">
        <f t="shared" si="1"/>
        <v>8</v>
      </c>
      <c r="M6" s="3">
        <f>68</f>
        <v>68</v>
      </c>
      <c r="N6" s="32">
        <f t="shared" si="2"/>
        <v>8</v>
      </c>
      <c r="O6" s="3">
        <f t="shared" si="3"/>
        <v>7</v>
      </c>
      <c r="P6" s="89">
        <f t="shared" si="4"/>
        <v>1.3015169564872</v>
      </c>
      <c r="Q6" s="6">
        <f t="shared" si="5"/>
        <v>2.7586206896551726</v>
      </c>
      <c r="R6" s="3">
        <f t="shared" si="6"/>
        <v>2.1195426428409365</v>
      </c>
      <c r="S6" s="55">
        <f t="shared" si="7"/>
        <v>1</v>
      </c>
    </row>
    <row r="7" spans="2:25" x14ac:dyDescent="0.25">
      <c r="B7" s="1" t="s">
        <v>20</v>
      </c>
      <c r="C7" s="2">
        <f t="shared" si="0"/>
        <v>0.72499999999999998</v>
      </c>
      <c r="D7" s="3">
        <v>3</v>
      </c>
      <c r="E7" s="3">
        <v>3</v>
      </c>
      <c r="F7" s="4">
        <v>3</v>
      </c>
      <c r="G7" s="3">
        <v>6</v>
      </c>
      <c r="H7" s="3">
        <v>17</v>
      </c>
      <c r="I7" s="32">
        <v>0</v>
      </c>
      <c r="J7" s="3">
        <v>7</v>
      </c>
      <c r="K7" s="3">
        <v>1</v>
      </c>
      <c r="L7" s="3">
        <f t="shared" si="1"/>
        <v>8</v>
      </c>
      <c r="M7" s="3">
        <v>40</v>
      </c>
      <c r="N7" s="32">
        <f t="shared" si="2"/>
        <v>6</v>
      </c>
      <c r="O7" s="3">
        <f t="shared" si="3"/>
        <v>7</v>
      </c>
      <c r="P7" s="89">
        <f t="shared" si="4"/>
        <v>0.9761377173654</v>
      </c>
      <c r="Q7" s="6">
        <f t="shared" si="5"/>
        <v>2.0689655172413794</v>
      </c>
      <c r="R7" s="3">
        <f t="shared" si="6"/>
        <v>2.1195426428409365</v>
      </c>
      <c r="S7" s="55">
        <f t="shared" si="7"/>
        <v>1</v>
      </c>
    </row>
    <row r="8" spans="2:25" x14ac:dyDescent="0.25">
      <c r="B8" s="1" t="s">
        <v>21</v>
      </c>
      <c r="C8" s="2">
        <f t="shared" si="0"/>
        <v>0.72499999999999998</v>
      </c>
      <c r="D8" s="3">
        <v>4</v>
      </c>
      <c r="E8" s="3">
        <v>4</v>
      </c>
      <c r="F8" s="4">
        <v>4</v>
      </c>
      <c r="G8" s="3">
        <v>9</v>
      </c>
      <c r="H8" s="3">
        <v>17</v>
      </c>
      <c r="I8" s="32">
        <v>0</v>
      </c>
      <c r="J8" s="3">
        <v>9</v>
      </c>
      <c r="K8" s="3">
        <v>1</v>
      </c>
      <c r="L8" s="3">
        <f t="shared" si="1"/>
        <v>10</v>
      </c>
      <c r="M8" s="3">
        <v>52</v>
      </c>
      <c r="N8" s="32">
        <f t="shared" si="2"/>
        <v>9</v>
      </c>
      <c r="O8" s="3">
        <f t="shared" si="3"/>
        <v>9</v>
      </c>
      <c r="P8" s="89">
        <f t="shared" si="4"/>
        <v>1.1388273369263</v>
      </c>
      <c r="Q8" s="6">
        <f t="shared" si="5"/>
        <v>3.103448275862069</v>
      </c>
      <c r="R8" s="3">
        <f t="shared" si="6"/>
        <v>2.7251262550812041</v>
      </c>
      <c r="S8" s="55">
        <f t="shared" si="7"/>
        <v>1</v>
      </c>
    </row>
    <row r="9" spans="2:25" x14ac:dyDescent="0.25">
      <c r="B9" s="1" t="s">
        <v>21</v>
      </c>
      <c r="C9" s="2">
        <f t="shared" si="0"/>
        <v>0.72499999999999998</v>
      </c>
      <c r="D9" s="3">
        <v>4</v>
      </c>
      <c r="E9" s="3">
        <v>4</v>
      </c>
      <c r="F9" s="4">
        <v>4</v>
      </c>
      <c r="G9" s="3">
        <v>8</v>
      </c>
      <c r="H9" s="3">
        <v>20</v>
      </c>
      <c r="I9" s="32">
        <v>1</v>
      </c>
      <c r="J9" s="3">
        <v>17</v>
      </c>
      <c r="K9" s="3">
        <v>1</v>
      </c>
      <c r="L9" s="3">
        <f t="shared" si="1"/>
        <v>19</v>
      </c>
      <c r="M9" s="3">
        <v>61</v>
      </c>
      <c r="N9" s="32">
        <f t="shared" si="2"/>
        <v>8</v>
      </c>
      <c r="O9" s="3">
        <f t="shared" si="3"/>
        <v>18</v>
      </c>
      <c r="P9" s="89">
        <f t="shared" si="4"/>
        <v>0.5061454830783555</v>
      </c>
      <c r="Q9" s="6">
        <f t="shared" si="5"/>
        <v>2.7586206896551726</v>
      </c>
      <c r="R9" s="3">
        <f t="shared" si="6"/>
        <v>5.4502525101624082</v>
      </c>
      <c r="S9" s="55">
        <f t="shared" si="7"/>
        <v>0.9821428571428571</v>
      </c>
    </row>
    <row r="10" spans="2:25" x14ac:dyDescent="0.25">
      <c r="B10" s="1" t="s">
        <v>22</v>
      </c>
      <c r="C10" s="2">
        <f t="shared" si="0"/>
        <v>0.72499999999999998</v>
      </c>
      <c r="D10" s="3">
        <v>3</v>
      </c>
      <c r="E10" s="3">
        <v>3</v>
      </c>
      <c r="F10" s="4">
        <v>3</v>
      </c>
      <c r="G10" s="3">
        <v>8</v>
      </c>
      <c r="H10" s="3">
        <v>26</v>
      </c>
      <c r="I10" s="32">
        <v>8</v>
      </c>
      <c r="J10" s="3">
        <v>27</v>
      </c>
      <c r="K10" s="3">
        <v>1</v>
      </c>
      <c r="L10" s="3">
        <f t="shared" si="1"/>
        <v>36</v>
      </c>
      <c r="M10" s="3">
        <v>102</v>
      </c>
      <c r="N10" s="32">
        <f t="shared" si="2"/>
        <v>8</v>
      </c>
      <c r="O10" s="3">
        <f t="shared" si="3"/>
        <v>35</v>
      </c>
      <c r="P10" s="89">
        <f t="shared" si="4"/>
        <v>0.26030339129744001</v>
      </c>
      <c r="Q10" s="6">
        <f t="shared" si="5"/>
        <v>2.7586206896551726</v>
      </c>
      <c r="R10" s="3">
        <f t="shared" si="6"/>
        <v>10.597713214204683</v>
      </c>
      <c r="S10" s="55">
        <f t="shared" si="7"/>
        <v>0.91397849462365588</v>
      </c>
    </row>
    <row r="11" spans="2:25" x14ac:dyDescent="0.25">
      <c r="B11" s="1" t="s">
        <v>56</v>
      </c>
      <c r="C11" s="2">
        <f>0.5*1.45</f>
        <v>0.72499999999999998</v>
      </c>
      <c r="D11" s="3">
        <v>1</v>
      </c>
      <c r="E11" s="3">
        <v>1</v>
      </c>
      <c r="F11" s="4">
        <v>1</v>
      </c>
      <c r="G11" s="3">
        <v>7</v>
      </c>
      <c r="H11" s="3">
        <v>10</v>
      </c>
      <c r="I11" s="32">
        <v>0</v>
      </c>
      <c r="J11" s="3">
        <v>10</v>
      </c>
      <c r="K11" s="3">
        <v>1</v>
      </c>
      <c r="L11" s="3">
        <f t="shared" si="1"/>
        <v>11</v>
      </c>
      <c r="M11" s="3">
        <v>32</v>
      </c>
      <c r="N11" s="32">
        <f>G11</f>
        <v>7</v>
      </c>
      <c r="O11" s="3">
        <f>I11+J11</f>
        <v>10</v>
      </c>
      <c r="P11" s="89">
        <f>((PI()*C11)/2)*(N11/O11)</f>
        <v>0.79717913584840994</v>
      </c>
      <c r="Q11" s="6">
        <f>N11/(4*C11)</f>
        <v>2.4137931034482758</v>
      </c>
      <c r="R11" s="3">
        <f t="shared" si="6"/>
        <v>3.0279180612013379</v>
      </c>
      <c r="S11" s="55">
        <f>((3*J11)+(4*K11))/(I11+(3*J11)+(4*K11))</f>
        <v>1</v>
      </c>
    </row>
    <row r="12" spans="2:25" ht="15.75" thickBot="1" x14ac:dyDescent="0.3">
      <c r="B12" s="8" t="s">
        <v>53</v>
      </c>
      <c r="C12" s="9">
        <f>0.5*1.45</f>
        <v>0.72499999999999998</v>
      </c>
      <c r="D12" s="10">
        <v>3</v>
      </c>
      <c r="E12" s="10">
        <v>3</v>
      </c>
      <c r="F12" s="11">
        <v>3</v>
      </c>
      <c r="G12" s="10">
        <v>9</v>
      </c>
      <c r="H12" s="10">
        <v>14</v>
      </c>
      <c r="I12" s="34">
        <v>0</v>
      </c>
      <c r="J12" s="10">
        <v>7</v>
      </c>
      <c r="K12" s="10">
        <v>1</v>
      </c>
      <c r="L12" s="10">
        <f t="shared" si="1"/>
        <v>8</v>
      </c>
      <c r="M12" s="10">
        <v>55</v>
      </c>
      <c r="N12" s="34">
        <f>G12</f>
        <v>9</v>
      </c>
      <c r="O12" s="10">
        <f>I12+J12</f>
        <v>7</v>
      </c>
      <c r="P12" s="91">
        <f>((PI()*C12)/2)*(N12/O12)</f>
        <v>1.4642065760481</v>
      </c>
      <c r="Q12" s="13">
        <f>N12/(4*C12)</f>
        <v>3.103448275862069</v>
      </c>
      <c r="R12" s="10">
        <f t="shared" si="6"/>
        <v>2.1195426428409365</v>
      </c>
      <c r="S12" s="56">
        <f>((3*J12)+(4*K12))/(I12+(3*J12)+(4*K12))</f>
        <v>1</v>
      </c>
    </row>
    <row r="13" spans="2:25" x14ac:dyDescent="0.25">
      <c r="F13" s="174" t="s">
        <v>52</v>
      </c>
      <c r="G13" s="41">
        <v>7</v>
      </c>
      <c r="H13" s="40">
        <v>24</v>
      </c>
      <c r="N13" s="3"/>
    </row>
    <row r="14" spans="2:25" x14ac:dyDescent="0.25">
      <c r="F14" s="175"/>
      <c r="G14" s="3">
        <v>8</v>
      </c>
      <c r="H14" s="35">
        <v>18</v>
      </c>
      <c r="N14" s="3"/>
    </row>
    <row r="15" spans="2:25" ht="15.75" thickBot="1" x14ac:dyDescent="0.3">
      <c r="F15" s="176"/>
      <c r="G15" s="10">
        <v>9</v>
      </c>
      <c r="H15" s="54">
        <v>19</v>
      </c>
      <c r="N15" s="3"/>
    </row>
    <row r="16" spans="2:25" ht="15.75" thickBot="1" x14ac:dyDescent="0.3"/>
    <row r="17" spans="6:19" x14ac:dyDescent="0.25">
      <c r="F17" s="114" t="s">
        <v>57</v>
      </c>
      <c r="G17" s="115">
        <f>AVERAGE(G5:G15)</f>
        <v>8</v>
      </c>
      <c r="H17" s="115">
        <f t="shared" ref="H17:S17" si="8">AVERAGE(H5:H15)</f>
        <v>19</v>
      </c>
      <c r="I17" s="115">
        <f t="shared" si="8"/>
        <v>1.125</v>
      </c>
      <c r="J17" s="115">
        <f t="shared" si="8"/>
        <v>12</v>
      </c>
      <c r="K17" s="115">
        <f t="shared" si="8"/>
        <v>1</v>
      </c>
      <c r="L17" s="115">
        <f t="shared" si="8"/>
        <v>14.125</v>
      </c>
      <c r="M17" s="115">
        <f t="shared" si="8"/>
        <v>59.5</v>
      </c>
      <c r="N17" s="115">
        <f t="shared" si="8"/>
        <v>8</v>
      </c>
      <c r="O17" s="115">
        <f t="shared" si="8"/>
        <v>13.125</v>
      </c>
      <c r="P17" s="115">
        <f t="shared" si="8"/>
        <v>0.9123046374682412</v>
      </c>
      <c r="Q17" s="115">
        <f t="shared" si="8"/>
        <v>2.7586206896551722</v>
      </c>
      <c r="R17" s="115">
        <f t="shared" si="8"/>
        <v>3.9741424553267564</v>
      </c>
      <c r="S17" s="115">
        <f t="shared" si="8"/>
        <v>0.98701516897081409</v>
      </c>
    </row>
    <row r="18" spans="6:19" x14ac:dyDescent="0.25">
      <c r="F18" s="120" t="s">
        <v>58</v>
      </c>
      <c r="G18" s="93">
        <f>MEDIAN(G5:G15)</f>
        <v>8</v>
      </c>
      <c r="H18" s="93">
        <f t="shared" ref="H18:S18" si="9">MEDIAN(H5:H15)</f>
        <v>19</v>
      </c>
      <c r="I18" s="93">
        <f t="shared" si="9"/>
        <v>0</v>
      </c>
      <c r="J18" s="93">
        <f t="shared" si="9"/>
        <v>9.5</v>
      </c>
      <c r="K18" s="93">
        <f t="shared" si="9"/>
        <v>1</v>
      </c>
      <c r="L18" s="93">
        <f t="shared" si="9"/>
        <v>10.5</v>
      </c>
      <c r="M18" s="93">
        <f t="shared" si="9"/>
        <v>58</v>
      </c>
      <c r="N18" s="93">
        <f t="shared" si="9"/>
        <v>8</v>
      </c>
      <c r="O18" s="93">
        <f t="shared" si="9"/>
        <v>9.5</v>
      </c>
      <c r="P18" s="93">
        <f t="shared" si="9"/>
        <v>0.91512911003006248</v>
      </c>
      <c r="Q18" s="93">
        <f t="shared" si="9"/>
        <v>2.7586206896551726</v>
      </c>
      <c r="R18" s="93">
        <f t="shared" si="9"/>
        <v>2.8765221581412712</v>
      </c>
      <c r="S18" s="93">
        <f t="shared" si="9"/>
        <v>1</v>
      </c>
    </row>
    <row r="19" spans="6:19" x14ac:dyDescent="0.25">
      <c r="F19" s="120" t="s">
        <v>35</v>
      </c>
      <c r="G19" s="93">
        <f>MIN(G5:G15)</f>
        <v>6</v>
      </c>
      <c r="H19" s="93">
        <f t="shared" ref="H19:S19" si="10">MIN(H5:H15)</f>
        <v>10</v>
      </c>
      <c r="I19" s="93">
        <f t="shared" si="10"/>
        <v>0</v>
      </c>
      <c r="J19" s="93">
        <f t="shared" si="10"/>
        <v>7</v>
      </c>
      <c r="K19" s="93">
        <f t="shared" si="10"/>
        <v>1</v>
      </c>
      <c r="L19" s="93">
        <f t="shared" si="10"/>
        <v>8</v>
      </c>
      <c r="M19" s="93">
        <f t="shared" si="10"/>
        <v>32</v>
      </c>
      <c r="N19" s="93">
        <f t="shared" si="10"/>
        <v>6</v>
      </c>
      <c r="O19" s="93">
        <f t="shared" si="10"/>
        <v>7</v>
      </c>
      <c r="P19" s="93">
        <f t="shared" si="10"/>
        <v>0.26030339129744001</v>
      </c>
      <c r="Q19" s="93">
        <f t="shared" si="10"/>
        <v>2.0689655172413794</v>
      </c>
      <c r="R19" s="93">
        <f t="shared" si="10"/>
        <v>2.1195426428409365</v>
      </c>
      <c r="S19" s="93">
        <f t="shared" si="10"/>
        <v>0.91397849462365588</v>
      </c>
    </row>
    <row r="20" spans="6:19" x14ac:dyDescent="0.25">
      <c r="F20" s="120" t="s">
        <v>36</v>
      </c>
      <c r="G20" s="93">
        <f>MAX(G5:G15)</f>
        <v>9</v>
      </c>
      <c r="H20" s="93">
        <f t="shared" ref="H20:S20" si="11">MAX(H5:H15)</f>
        <v>26</v>
      </c>
      <c r="I20" s="93">
        <f t="shared" si="11"/>
        <v>8</v>
      </c>
      <c r="J20" s="93">
        <f t="shared" si="11"/>
        <v>27</v>
      </c>
      <c r="K20" s="93">
        <f t="shared" si="11"/>
        <v>1</v>
      </c>
      <c r="L20" s="93">
        <f t="shared" si="11"/>
        <v>36</v>
      </c>
      <c r="M20" s="93">
        <f t="shared" si="11"/>
        <v>102</v>
      </c>
      <c r="N20" s="93">
        <f t="shared" si="11"/>
        <v>9</v>
      </c>
      <c r="O20" s="93">
        <f t="shared" si="11"/>
        <v>35</v>
      </c>
      <c r="P20" s="93">
        <f t="shared" si="11"/>
        <v>1.4642065760481</v>
      </c>
      <c r="Q20" s="93">
        <f t="shared" si="11"/>
        <v>3.103448275862069</v>
      </c>
      <c r="R20" s="93">
        <f t="shared" si="11"/>
        <v>10.597713214204683</v>
      </c>
      <c r="S20" s="93">
        <f t="shared" si="11"/>
        <v>1</v>
      </c>
    </row>
    <row r="21" spans="6:19" x14ac:dyDescent="0.25">
      <c r="F21" s="120" t="s">
        <v>59</v>
      </c>
      <c r="G21" s="19">
        <f>(MAX(G5:G15)-MIN(G5:G15))</f>
        <v>3</v>
      </c>
      <c r="H21" s="19">
        <f t="shared" ref="H21:S21" si="12">(MAX(H5:H15)-MIN(H5:H15))</f>
        <v>16</v>
      </c>
      <c r="I21" s="19">
        <f t="shared" si="12"/>
        <v>8</v>
      </c>
      <c r="J21" s="19">
        <f t="shared" si="12"/>
        <v>20</v>
      </c>
      <c r="K21" s="19">
        <f t="shared" si="12"/>
        <v>0</v>
      </c>
      <c r="L21" s="19">
        <f t="shared" si="12"/>
        <v>28</v>
      </c>
      <c r="M21" s="19">
        <f t="shared" si="12"/>
        <v>70</v>
      </c>
      <c r="N21" s="19">
        <f t="shared" si="12"/>
        <v>3</v>
      </c>
      <c r="O21" s="19">
        <f t="shared" si="12"/>
        <v>28</v>
      </c>
      <c r="P21" s="19">
        <f t="shared" si="12"/>
        <v>1.20390318475066</v>
      </c>
      <c r="Q21" s="19">
        <f t="shared" si="12"/>
        <v>1.0344827586206895</v>
      </c>
      <c r="R21" s="19">
        <f t="shared" si="12"/>
        <v>8.4781705713637461</v>
      </c>
      <c r="S21" s="19">
        <f t="shared" si="12"/>
        <v>8.6021505376344121E-2</v>
      </c>
    </row>
    <row r="22" spans="6:19" ht="15.75" thickBot="1" x14ac:dyDescent="0.3">
      <c r="F22" s="124" t="s">
        <v>60</v>
      </c>
      <c r="G22" s="96">
        <f>(QUARTILE(G5:G15,3)-QUARTILE(G5:G15,1))/G18</f>
        <v>0.1875</v>
      </c>
      <c r="H22" s="96">
        <f t="shared" ref="H22:S22" si="13">(QUARTILE(H5:H15,3)-QUARTILE(H5:H15,1))/H18</f>
        <v>0.26315789473684209</v>
      </c>
      <c r="I22" s="96" t="e">
        <f t="shared" si="13"/>
        <v>#DIV/0!</v>
      </c>
      <c r="J22" s="96">
        <f t="shared" si="13"/>
        <v>0.65789473684210531</v>
      </c>
      <c r="K22" s="96">
        <f t="shared" si="13"/>
        <v>0</v>
      </c>
      <c r="L22" s="96">
        <f t="shared" si="13"/>
        <v>0.61904761904761907</v>
      </c>
      <c r="M22" s="96">
        <f t="shared" si="13"/>
        <v>0.30172413793103448</v>
      </c>
      <c r="N22" s="96">
        <f t="shared" si="13"/>
        <v>0.15625</v>
      </c>
      <c r="O22" s="96">
        <f t="shared" si="13"/>
        <v>0.68421052631578949</v>
      </c>
      <c r="P22" s="96">
        <f t="shared" si="13"/>
        <v>0.49728395061728403</v>
      </c>
      <c r="Q22" s="96">
        <f t="shared" si="13"/>
        <v>0.15624999999999994</v>
      </c>
      <c r="R22" s="96">
        <f t="shared" si="13"/>
        <v>0.68421052631578949</v>
      </c>
      <c r="S22" s="96">
        <f t="shared" si="13"/>
        <v>4.4642857142856984E-3</v>
      </c>
    </row>
    <row r="23" spans="6:19" x14ac:dyDescent="0.25"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</row>
    <row r="24" spans="6:19" x14ac:dyDescent="0.25">
      <c r="F24" s="126" t="s">
        <v>61</v>
      </c>
      <c r="G24" s="126">
        <f>G21/G18</f>
        <v>0.375</v>
      </c>
      <c r="H24" s="126">
        <f t="shared" ref="H24:S24" si="14">H21/H18</f>
        <v>0.84210526315789469</v>
      </c>
      <c r="I24" s="126" t="e">
        <f t="shared" si="14"/>
        <v>#DIV/0!</v>
      </c>
      <c r="J24" s="126">
        <f t="shared" si="14"/>
        <v>2.1052631578947367</v>
      </c>
      <c r="K24" s="126">
        <f t="shared" si="14"/>
        <v>0</v>
      </c>
      <c r="L24" s="126">
        <f t="shared" si="14"/>
        <v>2.6666666666666665</v>
      </c>
      <c r="M24" s="126">
        <f t="shared" si="14"/>
        <v>1.2068965517241379</v>
      </c>
      <c r="N24" s="126">
        <f t="shared" si="14"/>
        <v>0.375</v>
      </c>
      <c r="O24" s="126">
        <f t="shared" si="14"/>
        <v>2.9473684210526314</v>
      </c>
      <c r="P24" s="126">
        <f t="shared" si="14"/>
        <v>1.3155555555555556</v>
      </c>
      <c r="Q24" s="126">
        <f t="shared" si="14"/>
        <v>0.37499999999999994</v>
      </c>
      <c r="R24" s="126">
        <f t="shared" si="14"/>
        <v>2.9473684210526314</v>
      </c>
      <c r="S24" s="126">
        <f t="shared" si="14"/>
        <v>8.6021505376344121E-2</v>
      </c>
    </row>
  </sheetData>
  <mergeCells count="6">
    <mergeCell ref="F13:F15"/>
    <mergeCell ref="B2:F3"/>
    <mergeCell ref="G2:O2"/>
    <mergeCell ref="P2:S3"/>
    <mergeCell ref="G3:H3"/>
    <mergeCell ref="I3:O3"/>
  </mergeCells>
  <conditionalFormatting sqref="G22:S22">
    <cfRule type="cellIs" dxfId="7" priority="1" operator="greaterThan">
      <formula>1</formula>
    </cfRule>
    <cfRule type="cellIs" dxfId="6" priority="2" operator="between">
      <formula>0.6</formula>
      <formula>1</formula>
    </cfRule>
    <cfRule type="cellIs" dxfId="5" priority="3" operator="between">
      <formula>0.3</formula>
      <formula>0.6</formula>
    </cfRule>
    <cfRule type="cellIs" dxfId="4" priority="4" operator="lessThan">
      <formula>0.3</formula>
    </cfRule>
  </conditionalFormatting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23"/>
  <sheetViews>
    <sheetView workbookViewId="0">
      <selection activeCell="F23" sqref="F23"/>
    </sheetView>
  </sheetViews>
  <sheetFormatPr defaultRowHeight="15" x14ac:dyDescent="0.25"/>
  <sheetData>
    <row r="1" spans="2:19" ht="15.75" thickBot="1" x14ac:dyDescent="0.3"/>
    <row r="2" spans="2:19" ht="15.75" thickBot="1" x14ac:dyDescent="0.3">
      <c r="B2" s="131" t="s">
        <v>54</v>
      </c>
      <c r="C2" s="153"/>
      <c r="D2" s="153"/>
      <c r="E2" s="153"/>
      <c r="F2" s="154"/>
      <c r="G2" s="157" t="s">
        <v>41</v>
      </c>
      <c r="H2" s="158"/>
      <c r="I2" s="158"/>
      <c r="J2" s="158"/>
      <c r="K2" s="158"/>
      <c r="L2" s="158"/>
      <c r="M2" s="158"/>
      <c r="N2" s="158"/>
      <c r="O2" s="159"/>
      <c r="P2" s="162" t="s">
        <v>42</v>
      </c>
      <c r="Q2" s="163"/>
      <c r="R2" s="163"/>
      <c r="S2" s="164"/>
    </row>
    <row r="3" spans="2:19" ht="15.75" thickBot="1" x14ac:dyDescent="0.3">
      <c r="B3" s="132"/>
      <c r="C3" s="155"/>
      <c r="D3" s="155"/>
      <c r="E3" s="155"/>
      <c r="F3" s="156"/>
      <c r="G3" s="160" t="s">
        <v>7</v>
      </c>
      <c r="H3" s="161"/>
      <c r="I3" s="157" t="s">
        <v>8</v>
      </c>
      <c r="J3" s="158"/>
      <c r="K3" s="158"/>
      <c r="L3" s="158"/>
      <c r="M3" s="158"/>
      <c r="N3" s="158"/>
      <c r="O3" s="159"/>
      <c r="P3" s="165"/>
      <c r="Q3" s="166"/>
      <c r="R3" s="166"/>
      <c r="S3" s="167"/>
    </row>
    <row r="4" spans="2:19" ht="15.75" thickBot="1" x14ac:dyDescent="0.3">
      <c r="B4" s="44" t="s">
        <v>44</v>
      </c>
      <c r="C4" s="45" t="s">
        <v>43</v>
      </c>
      <c r="D4" s="46" t="s">
        <v>45</v>
      </c>
      <c r="E4" s="46" t="s">
        <v>46</v>
      </c>
      <c r="F4" s="48" t="s">
        <v>47</v>
      </c>
      <c r="G4" s="46" t="s">
        <v>9</v>
      </c>
      <c r="H4" s="48" t="s">
        <v>48</v>
      </c>
      <c r="I4" s="46" t="s">
        <v>10</v>
      </c>
      <c r="J4" s="46" t="s">
        <v>11</v>
      </c>
      <c r="K4" s="46" t="s">
        <v>12</v>
      </c>
      <c r="L4" s="46" t="s">
        <v>8</v>
      </c>
      <c r="M4" s="48" t="s">
        <v>49</v>
      </c>
      <c r="N4" s="46" t="s">
        <v>13</v>
      </c>
      <c r="O4" s="48" t="s">
        <v>14</v>
      </c>
      <c r="P4" s="49" t="s">
        <v>15</v>
      </c>
      <c r="Q4" s="46" t="s">
        <v>50</v>
      </c>
      <c r="R4" s="46" t="s">
        <v>21</v>
      </c>
      <c r="S4" s="50" t="s">
        <v>17</v>
      </c>
    </row>
    <row r="5" spans="2:19" ht="15.75" thickTop="1" x14ac:dyDescent="0.25">
      <c r="B5" s="53" t="s">
        <v>19</v>
      </c>
      <c r="C5" s="88">
        <v>1.21</v>
      </c>
      <c r="D5" s="3">
        <v>4</v>
      </c>
      <c r="E5" s="3">
        <v>4</v>
      </c>
      <c r="F5" s="4">
        <v>4</v>
      </c>
      <c r="G5" s="88">
        <v>21</v>
      </c>
      <c r="H5" s="39">
        <v>52</v>
      </c>
      <c r="I5" s="38">
        <v>9</v>
      </c>
      <c r="J5" s="38">
        <v>38</v>
      </c>
      <c r="K5" s="38">
        <v>2</v>
      </c>
      <c r="L5" s="3">
        <f t="shared" ref="L5:L10" si="0">SUM(I5:K5)</f>
        <v>49</v>
      </c>
      <c r="M5" s="39">
        <f>(4*60)+30</f>
        <v>270</v>
      </c>
      <c r="N5" s="3">
        <f t="shared" ref="N5:N10" si="1">G5</f>
        <v>21</v>
      </c>
      <c r="O5" s="4">
        <f t="shared" ref="O5:O10" si="2">I5+J5</f>
        <v>47</v>
      </c>
      <c r="P5" s="5">
        <f t="shared" ref="P5:P10" si="3">((PI()*C5)/2)*(N5/O5)</f>
        <v>0.84923265242251744</v>
      </c>
      <c r="Q5" s="6">
        <f t="shared" ref="Q5:Q10" si="4">N5/(4*C5)</f>
        <v>4.338842975206612</v>
      </c>
      <c r="R5" s="3">
        <f t="shared" ref="R5:R10" si="5">O5/(2*(PI())*(C5^2))</f>
        <v>5.1091334781224518</v>
      </c>
      <c r="S5" s="7">
        <f t="shared" ref="S5:S10" si="6">((3*J5)+(4*K5))/(I5+(3*J5)+(4*K5))</f>
        <v>0.93129770992366412</v>
      </c>
    </row>
    <row r="6" spans="2:19" x14ac:dyDescent="0.25">
      <c r="B6" s="31" t="s">
        <v>20</v>
      </c>
      <c r="C6" s="32">
        <v>1.21</v>
      </c>
      <c r="D6" s="3">
        <v>3</v>
      </c>
      <c r="E6" s="3">
        <v>3</v>
      </c>
      <c r="F6" s="4">
        <v>3</v>
      </c>
      <c r="G6" s="32">
        <v>17</v>
      </c>
      <c r="H6" s="4">
        <v>42</v>
      </c>
      <c r="I6" s="3">
        <v>7</v>
      </c>
      <c r="J6" s="3">
        <v>29</v>
      </c>
      <c r="K6" s="3">
        <v>3</v>
      </c>
      <c r="L6" s="3">
        <f t="shared" si="0"/>
        <v>39</v>
      </c>
      <c r="M6" s="4">
        <f>(3*60)+43</f>
        <v>223</v>
      </c>
      <c r="N6" s="3">
        <f t="shared" si="1"/>
        <v>17</v>
      </c>
      <c r="O6" s="4">
        <f t="shared" si="2"/>
        <v>36</v>
      </c>
      <c r="P6" s="5">
        <f t="shared" si="3"/>
        <v>0.89753556783808386</v>
      </c>
      <c r="Q6" s="6">
        <f t="shared" si="4"/>
        <v>3.5123966942148761</v>
      </c>
      <c r="R6" s="3">
        <f t="shared" si="5"/>
        <v>3.9133788343065588</v>
      </c>
      <c r="S6" s="7">
        <f t="shared" si="6"/>
        <v>0.93396226415094341</v>
      </c>
    </row>
    <row r="7" spans="2:19" x14ac:dyDescent="0.25">
      <c r="B7" s="31" t="s">
        <v>20</v>
      </c>
      <c r="C7" s="32">
        <v>1.21</v>
      </c>
      <c r="D7" s="3">
        <v>3</v>
      </c>
      <c r="E7" s="3">
        <v>3</v>
      </c>
      <c r="F7" s="4">
        <v>3</v>
      </c>
      <c r="G7" s="32">
        <v>19</v>
      </c>
      <c r="H7" s="4">
        <v>57</v>
      </c>
      <c r="I7" s="3">
        <v>15</v>
      </c>
      <c r="J7" s="3">
        <v>28</v>
      </c>
      <c r="K7" s="3">
        <v>3</v>
      </c>
      <c r="L7" s="3">
        <f t="shared" si="0"/>
        <v>46</v>
      </c>
      <c r="M7" s="4">
        <f>(3*60)+24</f>
        <v>204</v>
      </c>
      <c r="N7" s="3">
        <f t="shared" si="1"/>
        <v>19</v>
      </c>
      <c r="O7" s="4">
        <f t="shared" si="2"/>
        <v>43</v>
      </c>
      <c r="P7" s="5">
        <f t="shared" si="3"/>
        <v>0.83982808262824815</v>
      </c>
      <c r="Q7" s="6">
        <f t="shared" si="4"/>
        <v>3.9256198347107438</v>
      </c>
      <c r="R7" s="3">
        <f t="shared" si="5"/>
        <v>4.6743136076439455</v>
      </c>
      <c r="S7" s="7">
        <f t="shared" si="6"/>
        <v>0.86486486486486491</v>
      </c>
    </row>
    <row r="8" spans="2:19" x14ac:dyDescent="0.25">
      <c r="B8" s="31" t="s">
        <v>21</v>
      </c>
      <c r="C8" s="32">
        <v>1.21</v>
      </c>
      <c r="D8" s="3">
        <v>4</v>
      </c>
      <c r="E8" s="3">
        <v>4</v>
      </c>
      <c r="F8" s="4">
        <v>4</v>
      </c>
      <c r="G8" s="32">
        <v>21</v>
      </c>
      <c r="H8" s="4">
        <v>28</v>
      </c>
      <c r="I8" s="3">
        <v>5</v>
      </c>
      <c r="J8" s="3">
        <v>21</v>
      </c>
      <c r="K8" s="3">
        <v>0</v>
      </c>
      <c r="L8" s="3">
        <f t="shared" si="0"/>
        <v>26</v>
      </c>
      <c r="M8" s="4">
        <v>85</v>
      </c>
      <c r="N8" s="3">
        <f t="shared" si="1"/>
        <v>21</v>
      </c>
      <c r="O8" s="4">
        <f t="shared" si="2"/>
        <v>26</v>
      </c>
      <c r="P8" s="5">
        <f t="shared" si="3"/>
        <v>1.5351513332253199</v>
      </c>
      <c r="Q8" s="6">
        <f t="shared" si="4"/>
        <v>4.338842975206612</v>
      </c>
      <c r="R8" s="3">
        <f t="shared" si="5"/>
        <v>2.8263291581102927</v>
      </c>
      <c r="S8" s="7">
        <f t="shared" si="6"/>
        <v>0.92647058823529416</v>
      </c>
    </row>
    <row r="9" spans="2:19" x14ac:dyDescent="0.25">
      <c r="B9" s="31" t="s">
        <v>21</v>
      </c>
      <c r="C9" s="32">
        <v>1.21</v>
      </c>
      <c r="D9" s="3">
        <v>4</v>
      </c>
      <c r="E9" s="3">
        <v>4</v>
      </c>
      <c r="F9" s="4">
        <v>4</v>
      </c>
      <c r="G9" s="32">
        <v>19</v>
      </c>
      <c r="H9" s="4">
        <v>22</v>
      </c>
      <c r="I9" s="3">
        <v>10</v>
      </c>
      <c r="J9" s="3">
        <v>36</v>
      </c>
      <c r="K9" s="3">
        <v>1</v>
      </c>
      <c r="L9" s="3">
        <f t="shared" si="0"/>
        <v>47</v>
      </c>
      <c r="M9" s="4">
        <v>121</v>
      </c>
      <c r="N9" s="3">
        <f t="shared" si="1"/>
        <v>19</v>
      </c>
      <c r="O9" s="4">
        <f t="shared" si="2"/>
        <v>46</v>
      </c>
      <c r="P9" s="5">
        <f t="shared" si="3"/>
        <v>0.78505668593510158</v>
      </c>
      <c r="Q9" s="6">
        <f t="shared" si="4"/>
        <v>3.9256198347107438</v>
      </c>
      <c r="R9" s="3">
        <f t="shared" si="5"/>
        <v>5.0004285105028252</v>
      </c>
      <c r="S9" s="7">
        <f t="shared" si="6"/>
        <v>0.91803278688524592</v>
      </c>
    </row>
    <row r="10" spans="2:19" x14ac:dyDescent="0.25">
      <c r="B10" s="31" t="s">
        <v>22</v>
      </c>
      <c r="C10" s="32">
        <v>1.21</v>
      </c>
      <c r="D10" s="3">
        <v>3</v>
      </c>
      <c r="E10" s="3">
        <v>3</v>
      </c>
      <c r="F10" s="4">
        <v>3</v>
      </c>
      <c r="G10" s="32">
        <v>20</v>
      </c>
      <c r="H10" s="3">
        <v>42</v>
      </c>
      <c r="I10" s="32">
        <v>18</v>
      </c>
      <c r="J10" s="3">
        <v>60</v>
      </c>
      <c r="K10" s="3">
        <v>3</v>
      </c>
      <c r="L10" s="3">
        <f t="shared" si="0"/>
        <v>81</v>
      </c>
      <c r="M10" s="3">
        <v>335</v>
      </c>
      <c r="N10" s="32">
        <f t="shared" si="1"/>
        <v>20</v>
      </c>
      <c r="O10" s="3">
        <f t="shared" si="2"/>
        <v>78</v>
      </c>
      <c r="P10" s="89">
        <f t="shared" si="3"/>
        <v>0.48734962959533962</v>
      </c>
      <c r="Q10" s="6">
        <f t="shared" si="4"/>
        <v>4.1322314049586781</v>
      </c>
      <c r="R10" s="3">
        <f t="shared" si="5"/>
        <v>8.4789874743308769</v>
      </c>
      <c r="S10" s="7">
        <f t="shared" si="6"/>
        <v>0.91428571428571426</v>
      </c>
    </row>
    <row r="11" spans="2:19" x14ac:dyDescent="0.25">
      <c r="B11" s="31" t="s">
        <v>56</v>
      </c>
      <c r="C11" s="32">
        <v>1.21</v>
      </c>
      <c r="D11" s="3">
        <v>1</v>
      </c>
      <c r="E11" s="3">
        <v>1</v>
      </c>
      <c r="F11" s="4">
        <v>1</v>
      </c>
      <c r="G11" s="32">
        <v>14</v>
      </c>
      <c r="H11" s="4">
        <v>19</v>
      </c>
      <c r="I11" s="3">
        <v>4</v>
      </c>
      <c r="J11" s="3">
        <v>13</v>
      </c>
      <c r="K11" s="3">
        <v>1</v>
      </c>
      <c r="L11" s="3">
        <f>SUM(I11:K11)</f>
        <v>18</v>
      </c>
      <c r="M11" s="4">
        <v>138</v>
      </c>
      <c r="N11" s="3">
        <f>G11</f>
        <v>14</v>
      </c>
      <c r="O11" s="4">
        <f>I11+J11</f>
        <v>17</v>
      </c>
      <c r="P11" s="5">
        <f>((PI()*C11)/2)*(N11/O11)</f>
        <v>1.5652523397591498</v>
      </c>
      <c r="Q11" s="6">
        <f>N11/(4*C11)</f>
        <v>2.8925619834710745</v>
      </c>
      <c r="R11" s="3">
        <f>O11/(2*(PI())*(C11^2))</f>
        <v>1.8479844495336528</v>
      </c>
      <c r="S11" s="7">
        <f>((3*J11)+(4*K11))/(I11+(3*J11)+(4*K11))</f>
        <v>0.91489361702127658</v>
      </c>
    </row>
    <row r="12" spans="2:19" ht="15.75" thickBot="1" x14ac:dyDescent="0.3">
      <c r="B12" s="33" t="s">
        <v>53</v>
      </c>
      <c r="C12" s="34">
        <v>1.21</v>
      </c>
      <c r="D12" s="10">
        <v>3</v>
      </c>
      <c r="E12" s="10">
        <v>3</v>
      </c>
      <c r="F12" s="11">
        <v>3</v>
      </c>
      <c r="G12" s="34">
        <v>13</v>
      </c>
      <c r="H12" s="11">
        <v>20</v>
      </c>
      <c r="I12" s="10">
        <v>0</v>
      </c>
      <c r="J12" s="10">
        <v>11</v>
      </c>
      <c r="K12" s="10">
        <v>1</v>
      </c>
      <c r="L12" s="10">
        <f>SUM(I12:K12)</f>
        <v>12</v>
      </c>
      <c r="M12" s="11">
        <v>103</v>
      </c>
      <c r="N12" s="10">
        <f>G12</f>
        <v>13</v>
      </c>
      <c r="O12" s="11">
        <f>I12+J12</f>
        <v>11</v>
      </c>
      <c r="P12" s="12">
        <f>((PI()*C12)/2)*(N12/O12)</f>
        <v>2.2462387473167023</v>
      </c>
      <c r="Q12" s="13">
        <f>N12/(4*C12)</f>
        <v>2.6859504132231407</v>
      </c>
      <c r="R12" s="10">
        <f>O12/(2*(PI())*(C12^2))</f>
        <v>1.195754643815893</v>
      </c>
      <c r="S12" s="14">
        <f>((3*J12)+(4*K12))/(I12+(3*J12)+(4*K12))</f>
        <v>1</v>
      </c>
    </row>
    <row r="13" spans="2:19" x14ac:dyDescent="0.25">
      <c r="F13" s="170" t="s">
        <v>52</v>
      </c>
      <c r="G13" s="75">
        <v>21</v>
      </c>
      <c r="H13" s="64">
        <v>24</v>
      </c>
    </row>
    <row r="14" spans="2:19" ht="15.75" thickBot="1" x14ac:dyDescent="0.3">
      <c r="F14" s="169"/>
      <c r="G14" s="81">
        <v>20</v>
      </c>
      <c r="H14" s="87">
        <v>27</v>
      </c>
    </row>
    <row r="15" spans="2:19" ht="15.75" thickBot="1" x14ac:dyDescent="0.3"/>
    <row r="16" spans="2:19" x14ac:dyDescent="0.25">
      <c r="F16" s="114" t="s">
        <v>57</v>
      </c>
      <c r="G16" s="115">
        <f>AVERAGE(G5:G14)</f>
        <v>18.5</v>
      </c>
      <c r="H16" s="115">
        <f t="shared" ref="H16:S16" si="7">AVERAGE(H5:H14)</f>
        <v>33.299999999999997</v>
      </c>
      <c r="I16" s="115">
        <f t="shared" si="7"/>
        <v>8.5</v>
      </c>
      <c r="J16" s="115">
        <f t="shared" si="7"/>
        <v>29.5</v>
      </c>
      <c r="K16" s="115">
        <f t="shared" si="7"/>
        <v>1.75</v>
      </c>
      <c r="L16" s="115">
        <f t="shared" si="7"/>
        <v>39.75</v>
      </c>
      <c r="M16" s="115">
        <f t="shared" si="7"/>
        <v>184.875</v>
      </c>
      <c r="N16" s="115">
        <f t="shared" si="7"/>
        <v>18</v>
      </c>
      <c r="O16" s="115">
        <f t="shared" si="7"/>
        <v>38</v>
      </c>
      <c r="P16" s="115">
        <f t="shared" si="7"/>
        <v>1.1507056298400578</v>
      </c>
      <c r="Q16" s="115">
        <f t="shared" si="7"/>
        <v>3.71900826446281</v>
      </c>
      <c r="R16" s="115">
        <f t="shared" si="7"/>
        <v>4.1307887695458119</v>
      </c>
      <c r="S16" s="115">
        <f t="shared" si="7"/>
        <v>0.92547594317087556</v>
      </c>
    </row>
    <row r="17" spans="6:19" x14ac:dyDescent="0.25">
      <c r="F17" s="120" t="s">
        <v>58</v>
      </c>
      <c r="G17" s="93">
        <f>MEDIAN(G5:G14)</f>
        <v>19.5</v>
      </c>
      <c r="H17" s="93">
        <f t="shared" ref="H17:S17" si="8">MEDIAN(H5:H14)</f>
        <v>27.5</v>
      </c>
      <c r="I17" s="93">
        <f t="shared" si="8"/>
        <v>8</v>
      </c>
      <c r="J17" s="93">
        <f t="shared" si="8"/>
        <v>28.5</v>
      </c>
      <c r="K17" s="93">
        <f t="shared" si="8"/>
        <v>1.5</v>
      </c>
      <c r="L17" s="93">
        <f t="shared" si="8"/>
        <v>42.5</v>
      </c>
      <c r="M17" s="93">
        <f t="shared" si="8"/>
        <v>171</v>
      </c>
      <c r="N17" s="93">
        <f t="shared" si="8"/>
        <v>19</v>
      </c>
      <c r="O17" s="93">
        <f t="shared" si="8"/>
        <v>39.5</v>
      </c>
      <c r="P17" s="93">
        <f t="shared" si="8"/>
        <v>0.87338411013030059</v>
      </c>
      <c r="Q17" s="93">
        <f t="shared" si="8"/>
        <v>3.9256198347107438</v>
      </c>
      <c r="R17" s="93">
        <f t="shared" si="8"/>
        <v>4.2938462209752526</v>
      </c>
      <c r="S17" s="93">
        <f t="shared" si="8"/>
        <v>0.92225168756026998</v>
      </c>
    </row>
    <row r="18" spans="6:19" x14ac:dyDescent="0.25">
      <c r="F18" s="120" t="s">
        <v>35</v>
      </c>
      <c r="G18" s="93">
        <f>MIN(G5:G14)</f>
        <v>13</v>
      </c>
      <c r="H18" s="93">
        <f t="shared" ref="H18:S18" si="9">MIN(H5:H14)</f>
        <v>19</v>
      </c>
      <c r="I18" s="93">
        <f t="shared" si="9"/>
        <v>0</v>
      </c>
      <c r="J18" s="93">
        <f t="shared" si="9"/>
        <v>11</v>
      </c>
      <c r="K18" s="93">
        <f t="shared" si="9"/>
        <v>0</v>
      </c>
      <c r="L18" s="93">
        <f t="shared" si="9"/>
        <v>12</v>
      </c>
      <c r="M18" s="93">
        <f t="shared" si="9"/>
        <v>85</v>
      </c>
      <c r="N18" s="93">
        <f t="shared" si="9"/>
        <v>13</v>
      </c>
      <c r="O18" s="93">
        <f t="shared" si="9"/>
        <v>11</v>
      </c>
      <c r="P18" s="93">
        <f t="shared" si="9"/>
        <v>0.48734962959533962</v>
      </c>
      <c r="Q18" s="93">
        <f t="shared" si="9"/>
        <v>2.6859504132231407</v>
      </c>
      <c r="R18" s="93">
        <f t="shared" si="9"/>
        <v>1.195754643815893</v>
      </c>
      <c r="S18" s="93">
        <f t="shared" si="9"/>
        <v>0.86486486486486491</v>
      </c>
    </row>
    <row r="19" spans="6:19" x14ac:dyDescent="0.25">
      <c r="F19" s="120" t="s">
        <v>36</v>
      </c>
      <c r="G19" s="93">
        <f>MAX(G5:G14)</f>
        <v>21</v>
      </c>
      <c r="H19" s="93">
        <f t="shared" ref="H19:S19" si="10">MAX(H5:H14)</f>
        <v>57</v>
      </c>
      <c r="I19" s="93">
        <f t="shared" si="10"/>
        <v>18</v>
      </c>
      <c r="J19" s="93">
        <f t="shared" si="10"/>
        <v>60</v>
      </c>
      <c r="K19" s="93">
        <f t="shared" si="10"/>
        <v>3</v>
      </c>
      <c r="L19" s="93">
        <f t="shared" si="10"/>
        <v>81</v>
      </c>
      <c r="M19" s="93">
        <f t="shared" si="10"/>
        <v>335</v>
      </c>
      <c r="N19" s="93">
        <f t="shared" si="10"/>
        <v>21</v>
      </c>
      <c r="O19" s="93">
        <f t="shared" si="10"/>
        <v>78</v>
      </c>
      <c r="P19" s="93">
        <f t="shared" si="10"/>
        <v>2.2462387473167023</v>
      </c>
      <c r="Q19" s="93">
        <f t="shared" si="10"/>
        <v>4.338842975206612</v>
      </c>
      <c r="R19" s="93">
        <f t="shared" si="10"/>
        <v>8.4789874743308769</v>
      </c>
      <c r="S19" s="93">
        <f t="shared" si="10"/>
        <v>1</v>
      </c>
    </row>
    <row r="20" spans="6:19" x14ac:dyDescent="0.25">
      <c r="F20" s="120" t="s">
        <v>59</v>
      </c>
      <c r="G20" s="19">
        <f>(MAX(G5:G14)-MIN(G5:G14))</f>
        <v>8</v>
      </c>
      <c r="H20" s="19">
        <f t="shared" ref="H20:S20" si="11">(MAX(H5:H14)-MIN(H5:H14))</f>
        <v>38</v>
      </c>
      <c r="I20" s="19">
        <f t="shared" si="11"/>
        <v>18</v>
      </c>
      <c r="J20" s="19">
        <f t="shared" si="11"/>
        <v>49</v>
      </c>
      <c r="K20" s="19">
        <f t="shared" si="11"/>
        <v>3</v>
      </c>
      <c r="L20" s="19">
        <f t="shared" si="11"/>
        <v>69</v>
      </c>
      <c r="M20" s="19">
        <f t="shared" si="11"/>
        <v>250</v>
      </c>
      <c r="N20" s="19">
        <f t="shared" si="11"/>
        <v>8</v>
      </c>
      <c r="O20" s="19">
        <f t="shared" si="11"/>
        <v>67</v>
      </c>
      <c r="P20" s="19">
        <f t="shared" si="11"/>
        <v>1.7588891177213626</v>
      </c>
      <c r="Q20" s="19">
        <f t="shared" si="11"/>
        <v>1.6528925619834713</v>
      </c>
      <c r="R20" s="19">
        <f t="shared" si="11"/>
        <v>7.2832328305149838</v>
      </c>
      <c r="S20" s="19">
        <f t="shared" si="11"/>
        <v>0.13513513513513509</v>
      </c>
    </row>
    <row r="21" spans="6:19" ht="15.75" thickBot="1" x14ac:dyDescent="0.3">
      <c r="F21" s="124" t="s">
        <v>60</v>
      </c>
      <c r="G21" s="96">
        <f>(QUARTILE(G5:G14,3)-QUARTILE(G5:G14,1))/G17</f>
        <v>0.16666666666666666</v>
      </c>
      <c r="H21" s="96">
        <f t="shared" ref="H21:S21" si="12">(QUARTILE(H5:H14,3)-QUARTILE(H5:H14,1))/H17</f>
        <v>0.70909090909090911</v>
      </c>
      <c r="I21" s="96">
        <f t="shared" si="12"/>
        <v>0.8125</v>
      </c>
      <c r="J21" s="96">
        <f t="shared" si="12"/>
        <v>0.61403508771929827</v>
      </c>
      <c r="K21" s="96">
        <f t="shared" si="12"/>
        <v>1.3333333333333333</v>
      </c>
      <c r="L21" s="96">
        <f t="shared" si="12"/>
        <v>0.55294117647058827</v>
      </c>
      <c r="M21" s="96">
        <f t="shared" si="12"/>
        <v>0.69152046783625731</v>
      </c>
      <c r="N21" s="96">
        <f t="shared" si="12"/>
        <v>0.21052631578947367</v>
      </c>
      <c r="O21" s="96">
        <f t="shared" si="12"/>
        <v>0.569620253164557</v>
      </c>
      <c r="P21" s="96">
        <f t="shared" si="12"/>
        <v>0.82041949594997177</v>
      </c>
      <c r="Q21" s="96">
        <f t="shared" si="12"/>
        <v>0.21052631578947367</v>
      </c>
      <c r="R21" s="96">
        <f t="shared" si="12"/>
        <v>0.56962025316455689</v>
      </c>
      <c r="S21" s="96">
        <f t="shared" si="12"/>
        <v>1.8674085800436641E-2</v>
      </c>
    </row>
    <row r="22" spans="6:19" x14ac:dyDescent="0.25"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</row>
    <row r="23" spans="6:19" x14ac:dyDescent="0.25">
      <c r="F23" s="126" t="s">
        <v>61</v>
      </c>
      <c r="G23" s="126">
        <f>G20/G17</f>
        <v>0.41025641025641024</v>
      </c>
      <c r="H23" s="126">
        <f t="shared" ref="H23:S23" si="13">H20/H17</f>
        <v>1.3818181818181818</v>
      </c>
      <c r="I23" s="126">
        <f t="shared" si="13"/>
        <v>2.25</v>
      </c>
      <c r="J23" s="126">
        <f t="shared" si="13"/>
        <v>1.7192982456140351</v>
      </c>
      <c r="K23" s="126">
        <f t="shared" si="13"/>
        <v>2</v>
      </c>
      <c r="L23" s="126">
        <f t="shared" si="13"/>
        <v>1.6235294117647059</v>
      </c>
      <c r="M23" s="126">
        <f t="shared" si="13"/>
        <v>1.4619883040935673</v>
      </c>
      <c r="N23" s="126">
        <f t="shared" si="13"/>
        <v>0.42105263157894735</v>
      </c>
      <c r="O23" s="126">
        <f t="shared" si="13"/>
        <v>1.6962025316455696</v>
      </c>
      <c r="P23" s="126">
        <f t="shared" si="13"/>
        <v>2.01387808333146</v>
      </c>
      <c r="Q23" s="126">
        <f t="shared" si="13"/>
        <v>0.42105263157894746</v>
      </c>
      <c r="R23" s="126">
        <f t="shared" si="13"/>
        <v>1.6962025316455693</v>
      </c>
      <c r="S23" s="126">
        <f t="shared" si="13"/>
        <v>0.14652739263901199</v>
      </c>
    </row>
  </sheetData>
  <mergeCells count="6">
    <mergeCell ref="P2:S3"/>
    <mergeCell ref="I3:O3"/>
    <mergeCell ref="G3:H3"/>
    <mergeCell ref="F13:F14"/>
    <mergeCell ref="B2:F3"/>
    <mergeCell ref="G2:O2"/>
  </mergeCells>
  <conditionalFormatting sqref="G21:S21">
    <cfRule type="cellIs" dxfId="3" priority="1" operator="greaterThan">
      <formula>1</formula>
    </cfRule>
    <cfRule type="cellIs" dxfId="2" priority="2" operator="between">
      <formula>0.6</formula>
      <formula>1</formula>
    </cfRule>
    <cfRule type="cellIs" dxfId="1" priority="3" operator="between">
      <formula>0.3</formula>
      <formula>0.6</formula>
    </cfRule>
    <cfRule type="cellIs" dxfId="0" priority="4" operator="lessThan">
      <formula>0.3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C1</vt:lpstr>
      <vt:lpstr>C2</vt:lpstr>
      <vt:lpstr>C3</vt:lpstr>
      <vt:lpstr>C4</vt:lpstr>
      <vt:lpstr>C5</vt:lpstr>
      <vt:lpstr>C6</vt:lpstr>
      <vt:lpstr>C7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</dc:creator>
  <cp:lastModifiedBy>Billy Andrews</cp:lastModifiedBy>
  <dcterms:created xsi:type="dcterms:W3CDTF">2018-12-07T00:22:20Z</dcterms:created>
  <dcterms:modified xsi:type="dcterms:W3CDTF">2019-03-06T11:42:19Z</dcterms:modified>
</cp:coreProperties>
</file>